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Objects="placeholders" codeName="ThisWorkbook" defaultThemeVersion="124226"/>
  <mc:AlternateContent xmlns:mc="http://schemas.openxmlformats.org/markup-compatibility/2006">
    <mc:Choice Requires="x15">
      <x15ac:absPath xmlns:x15ac="http://schemas.microsoft.com/office/spreadsheetml/2010/11/ac" url="G:\Shared drives\FIN-LA\ReDesign Schools Louisiana\Compliance\Act370\Semi-Annual Form A\"/>
    </mc:Choice>
  </mc:AlternateContent>
  <xr:revisionPtr revIDLastSave="0" documentId="8_{98703C85-910C-417D-991B-EE71E325723B}" xr6:coauthVersionLast="47" xr6:coauthVersionMax="47" xr10:uidLastSave="{00000000-0000-0000-0000-000000000000}"/>
  <bookViews>
    <workbookView xWindow="1240" yWindow="1000" windowWidth="17280" windowHeight="8830" tabRatio="633" firstSheet="1" activeTab="2" xr2:uid="{00000000-000D-0000-FFFF-FFFF00000000}"/>
  </bookViews>
  <sheets>
    <sheet name="Submission Dates" sheetId="29" state="hidden" r:id="rId1"/>
    <sheet name="SemiAnnual Budget 1 Upload" sheetId="42" r:id="rId2"/>
    <sheet name="FY 24-25 Budget Form A" sheetId="35" r:id="rId3"/>
    <sheet name="FBT" sheetId="30" r:id="rId4"/>
    <sheet name="FY24" sheetId="31" r:id="rId5"/>
    <sheet name="Form A Mapping" sheetId="32" r:id="rId6"/>
    <sheet name="P&amp;L SR 1" sheetId="39" r:id="rId7"/>
    <sheet name="P&amp;L 1" sheetId="36" r:id="rId8"/>
    <sheet name="Instruc Annual Budget " sheetId="27" state="hidden" r:id="rId9"/>
    <sheet name="P&amp;L 2" sheetId="40" r:id="rId10"/>
    <sheet name="P&amp;L SR 2" sheetId="41" r:id="rId11"/>
    <sheet name="Annual Budget " sheetId="1" r:id="rId12"/>
    <sheet name="Instruc Qtrly Budget" sheetId="28" state="hidden" r:id="rId13"/>
    <sheet name="Qtr 1 Budget" sheetId="22" r:id="rId14"/>
    <sheet name="Qtr 2 Budget" sheetId="23" r:id="rId15"/>
    <sheet name="Qtr 3 Budget" sheetId="24" r:id="rId16"/>
    <sheet name="Master Mapping" sheetId="38" r:id="rId17"/>
  </sheets>
  <externalReferences>
    <externalReference r:id="rId18"/>
    <externalReference r:id="rId19"/>
  </externalReferences>
  <definedNames>
    <definedName name="_xlnm.Print_Area" localSheetId="11">'Annual Budget '!$A$1:$N$161</definedName>
    <definedName name="_xlnm.Print_Area" localSheetId="13">'Qtr 1 Budget'!$A$1:$T$160</definedName>
    <definedName name="_xlnm.Print_Area" localSheetId="14">'Qtr 2 Budget'!$A$1:$T$161</definedName>
    <definedName name="_xlnm.Print_Area" localSheetId="15">'Qtr 3 Budget'!$A$1:$T$161</definedName>
    <definedName name="Print_Area_MI" localSheetId="2">#REF!</definedName>
    <definedName name="Print_Area_MI" localSheetId="8">#REF!</definedName>
    <definedName name="Print_Area_MI" localSheetId="12">#REF!</definedName>
    <definedName name="Print_Area_MI" localSheetId="13">'Qtr 1 Budget'!#REF!</definedName>
    <definedName name="Print_Area_MI" localSheetId="14">'Qtr 2 Budget'!#REF!</definedName>
    <definedName name="Print_Area_MI" localSheetId="15">'Qtr 3 Budget'!#REF!</definedName>
    <definedName name="Print_Area_MI">'Annual Budget '!#REF!</definedName>
    <definedName name="_xlnm.Print_Titles" localSheetId="11">'Annual Budget '!$1:$10</definedName>
    <definedName name="_xlnm.Print_Titles" localSheetId="13">'Qtr 1 Budget'!$A:$E,'Qtr 1 Budget'!$1:$10</definedName>
    <definedName name="_xlnm.Print_Titles" localSheetId="14">'Qtr 2 Budget'!$A:$E,'Qtr 2 Budget'!$1:$10</definedName>
    <definedName name="_xlnm.Print_Titles" localSheetId="15">'Qtr 3 Budget'!$A:$E,'Qtr 3 Budget'!$1:$10</definedName>
    <definedName name="Print_Titles_MI" localSheetId="13">'Qtr 1 Budget'!$1:$10</definedName>
    <definedName name="Print_Titles_MI" localSheetId="14">'Qtr 2 Budget'!$1:$10</definedName>
    <definedName name="Print_Titles_MI" localSheetId="15">'Qtr 3 Budget'!$1:$10</definedName>
    <definedName name="Print_Titles_MI">'Annual Budget '!$1:$10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4" i="32" l="1"/>
  <c r="J3314" i="38" l="1"/>
  <c r="J3313" i="38"/>
  <c r="J3311" i="38"/>
  <c r="J3305" i="38"/>
  <c r="J3304" i="38"/>
  <c r="J3303" i="38"/>
  <c r="J3302" i="38"/>
  <c r="J3301" i="38"/>
  <c r="J3300" i="38"/>
  <c r="J3299" i="38"/>
  <c r="J3298" i="38"/>
  <c r="J3297" i="38"/>
  <c r="J3296" i="38"/>
  <c r="J3295" i="38"/>
  <c r="J3294" i="38"/>
  <c r="J3293" i="38"/>
  <c r="J3292" i="38"/>
  <c r="J3291" i="38"/>
  <c r="J3290" i="38"/>
  <c r="J3289" i="38"/>
  <c r="J3288" i="38"/>
  <c r="J3287" i="38"/>
  <c r="J3286" i="38"/>
  <c r="J3285" i="38"/>
  <c r="J3284" i="38"/>
  <c r="J3283" i="38"/>
  <c r="J3282" i="38"/>
  <c r="J3281" i="38"/>
  <c r="J3280" i="38"/>
  <c r="J3279" i="38"/>
  <c r="J3275" i="38"/>
  <c r="J3274" i="38"/>
  <c r="J3273" i="38"/>
  <c r="J3272" i="38"/>
  <c r="J3271" i="38"/>
  <c r="J3270" i="38"/>
  <c r="J3269" i="38"/>
  <c r="J3268" i="38"/>
  <c r="J3266" i="38"/>
  <c r="J3263" i="38"/>
  <c r="J3258" i="38"/>
  <c r="J3257" i="38"/>
  <c r="J3256" i="38"/>
  <c r="J3253" i="38"/>
  <c r="J3252" i="38"/>
  <c r="J3251" i="38"/>
  <c r="J3250" i="38"/>
  <c r="J3249" i="38"/>
  <c r="J3248" i="38"/>
  <c r="J3247" i="38"/>
  <c r="J3246" i="38"/>
  <c r="J3245" i="38"/>
  <c r="J3244" i="38"/>
  <c r="J3243" i="38"/>
  <c r="J3242" i="38"/>
  <c r="J3241" i="38"/>
  <c r="J3240" i="38"/>
  <c r="J3239" i="38"/>
  <c r="J3238" i="38"/>
  <c r="J3235" i="38"/>
  <c r="J3234" i="38"/>
  <c r="J3233" i="38"/>
  <c r="J3232" i="38"/>
  <c r="J3231" i="38"/>
  <c r="J3230" i="38"/>
  <c r="J3229" i="38"/>
  <c r="J3225" i="38"/>
  <c r="J3223" i="38"/>
  <c r="J3222" i="38"/>
  <c r="J3216" i="38"/>
  <c r="J3215" i="38"/>
  <c r="J3214" i="38"/>
  <c r="J3213" i="38"/>
  <c r="J3212" i="38"/>
  <c r="J3211" i="38"/>
  <c r="J3210" i="38"/>
  <c r="J3209" i="38"/>
  <c r="J3208" i="38"/>
  <c r="J3207" i="38"/>
  <c r="J3206" i="38"/>
  <c r="J3205" i="38"/>
  <c r="J3204" i="38"/>
  <c r="J3203" i="38"/>
  <c r="J3202" i="38"/>
  <c r="J3201" i="38"/>
  <c r="J3200" i="38"/>
  <c r="J3199" i="38"/>
  <c r="J3198" i="38"/>
  <c r="J3197" i="38"/>
  <c r="J3196" i="38"/>
  <c r="J3195" i="38"/>
  <c r="P3188" i="38"/>
  <c r="J3188" i="38"/>
  <c r="P3187" i="38"/>
  <c r="J3187" i="38"/>
  <c r="P3186" i="38"/>
  <c r="J3186" i="38"/>
  <c r="P3185" i="38"/>
  <c r="J3185" i="38"/>
  <c r="P3184" i="38"/>
  <c r="J3184" i="38"/>
  <c r="P3183" i="38"/>
  <c r="J3183" i="38"/>
  <c r="P3182" i="38"/>
  <c r="J3182" i="38"/>
  <c r="P3181" i="38"/>
  <c r="J3181" i="38"/>
  <c r="P3180" i="38"/>
  <c r="J3180" i="38"/>
  <c r="P3179" i="38"/>
  <c r="J3179" i="38"/>
  <c r="P3178" i="38"/>
  <c r="J3178" i="38"/>
  <c r="P3177" i="38"/>
  <c r="J3177" i="38"/>
  <c r="J3164" i="38"/>
  <c r="P3163" i="38"/>
  <c r="J3163" i="38"/>
  <c r="P3162" i="38"/>
  <c r="J3162" i="38"/>
  <c r="P3161" i="38"/>
  <c r="J3161" i="38"/>
  <c r="J3157" i="38"/>
  <c r="J3156" i="38"/>
  <c r="J3155" i="38"/>
  <c r="J3154" i="38"/>
  <c r="J3153" i="38"/>
  <c r="J3151" i="38"/>
  <c r="J3150" i="38"/>
  <c r="P3143" i="38"/>
  <c r="J3143" i="38"/>
  <c r="P3142" i="38"/>
  <c r="J3142" i="38"/>
  <c r="P3141" i="38"/>
  <c r="J3141" i="38"/>
  <c r="P3139" i="38"/>
  <c r="J3139" i="38"/>
  <c r="P3138" i="38"/>
  <c r="J3138" i="38"/>
  <c r="P3137" i="38"/>
  <c r="J3137" i="38"/>
  <c r="P3136" i="38"/>
  <c r="J3136" i="38"/>
  <c r="P3135" i="38"/>
  <c r="J3135" i="38"/>
  <c r="P3134" i="38"/>
  <c r="J3134" i="38"/>
  <c r="P3133" i="38"/>
  <c r="J3133" i="38"/>
  <c r="P3128" i="38"/>
  <c r="J3128" i="38"/>
  <c r="P3127" i="38"/>
  <c r="J3127" i="38"/>
  <c r="P3126" i="38"/>
  <c r="J3126" i="38"/>
  <c r="P3125" i="38"/>
  <c r="J3125" i="38"/>
  <c r="P3124" i="38"/>
  <c r="J3124" i="38"/>
  <c r="P3123" i="38"/>
  <c r="J3123" i="38"/>
  <c r="P3122" i="38"/>
  <c r="J3122" i="38"/>
  <c r="P3121" i="38"/>
  <c r="J3121" i="38"/>
  <c r="P3120" i="38"/>
  <c r="J3120" i="38"/>
  <c r="P3118" i="38"/>
  <c r="J3118" i="38"/>
  <c r="P3117" i="38"/>
  <c r="J3117" i="38"/>
  <c r="P3116" i="38"/>
  <c r="J3116" i="38"/>
  <c r="P3114" i="38"/>
  <c r="J3114" i="38"/>
  <c r="P3113" i="38"/>
  <c r="J3113" i="38"/>
  <c r="P3111" i="38"/>
  <c r="J3111" i="38"/>
  <c r="P3110" i="38"/>
  <c r="J3110" i="38"/>
  <c r="P3109" i="38"/>
  <c r="J3109" i="38"/>
  <c r="P3108" i="38"/>
  <c r="J3108" i="38"/>
  <c r="P3107" i="38"/>
  <c r="J3107" i="38"/>
  <c r="P3105" i="38"/>
  <c r="J3105" i="38"/>
  <c r="P3104" i="38"/>
  <c r="J3104" i="38"/>
  <c r="P3103" i="38"/>
  <c r="J3103" i="38"/>
  <c r="P3101" i="38"/>
  <c r="J3101" i="38"/>
  <c r="P3100" i="38"/>
  <c r="J3100" i="38"/>
  <c r="P3099" i="38"/>
  <c r="J3099" i="38"/>
  <c r="P3097" i="38"/>
  <c r="J3097" i="38"/>
  <c r="P3096" i="38"/>
  <c r="J3096" i="38"/>
  <c r="P3094" i="38"/>
  <c r="J3094" i="38"/>
  <c r="P3093" i="38"/>
  <c r="J3093" i="38"/>
  <c r="P3092" i="38"/>
  <c r="J3092" i="38"/>
  <c r="P3090" i="38"/>
  <c r="J3090" i="38"/>
  <c r="P3089" i="38"/>
  <c r="J3089" i="38"/>
  <c r="P3087" i="38"/>
  <c r="J3087" i="38"/>
  <c r="P3086" i="38"/>
  <c r="J3086" i="38"/>
  <c r="P3084" i="38"/>
  <c r="J3084" i="38"/>
  <c r="P3083" i="38"/>
  <c r="J3083" i="38"/>
  <c r="P3082" i="38"/>
  <c r="J3082" i="38"/>
  <c r="P3081" i="38"/>
  <c r="J3081" i="38"/>
  <c r="P3080" i="38"/>
  <c r="J3080" i="38"/>
  <c r="P3079" i="38"/>
  <c r="J3079" i="38"/>
  <c r="P3072" i="38"/>
  <c r="J3072" i="38"/>
  <c r="P3071" i="38"/>
  <c r="J3071" i="38"/>
  <c r="P3070" i="38"/>
  <c r="J3070" i="38"/>
  <c r="P3069" i="38"/>
  <c r="J3069" i="38"/>
  <c r="P3068" i="38"/>
  <c r="J3068" i="38"/>
  <c r="P3067" i="38"/>
  <c r="J3067" i="38"/>
  <c r="P3066" i="38"/>
  <c r="J3066" i="38"/>
  <c r="P3065" i="38"/>
  <c r="J3065" i="38"/>
  <c r="P3064" i="38"/>
  <c r="J3064" i="38"/>
  <c r="P3062" i="38"/>
  <c r="J3062" i="38"/>
  <c r="P3061" i="38"/>
  <c r="J3061" i="38"/>
  <c r="P3060" i="38"/>
  <c r="J3060" i="38"/>
  <c r="P3058" i="38"/>
  <c r="J3058" i="38"/>
  <c r="P3057" i="38"/>
  <c r="J3057" i="38"/>
  <c r="P3055" i="38"/>
  <c r="J3055" i="38"/>
  <c r="P3054" i="38"/>
  <c r="J3054" i="38"/>
  <c r="P3053" i="38"/>
  <c r="J3053" i="38"/>
  <c r="P3052" i="38"/>
  <c r="J3052" i="38"/>
  <c r="P3050" i="38"/>
  <c r="J3050" i="38"/>
  <c r="P3049" i="38"/>
  <c r="J3049" i="38"/>
  <c r="P3048" i="38"/>
  <c r="J3048" i="38"/>
  <c r="P3046" i="38"/>
  <c r="J3046" i="38"/>
  <c r="P3045" i="38"/>
  <c r="J3045" i="38"/>
  <c r="P3043" i="38"/>
  <c r="J3043" i="38"/>
  <c r="P3042" i="38"/>
  <c r="J3042" i="38"/>
  <c r="P3040" i="38"/>
  <c r="J3040" i="38"/>
  <c r="P3039" i="38"/>
  <c r="J3039" i="38"/>
  <c r="P3038" i="38"/>
  <c r="J3038" i="38"/>
  <c r="P3037" i="38"/>
  <c r="J3037" i="38"/>
  <c r="P3032" i="38"/>
  <c r="J3032" i="38"/>
  <c r="P3031" i="38"/>
  <c r="J3031" i="38"/>
  <c r="P3030" i="38"/>
  <c r="J3030" i="38"/>
  <c r="P3029" i="38"/>
  <c r="J3029" i="38"/>
  <c r="P3028" i="38"/>
  <c r="J3028" i="38"/>
  <c r="P3027" i="38"/>
  <c r="J3027" i="38"/>
  <c r="P3026" i="38"/>
  <c r="J3026" i="38"/>
  <c r="P3025" i="38"/>
  <c r="J3025" i="38"/>
  <c r="P3024" i="38"/>
  <c r="J3024" i="38"/>
  <c r="P3022" i="38"/>
  <c r="J3022" i="38"/>
  <c r="P3021" i="38"/>
  <c r="J3021" i="38"/>
  <c r="P3020" i="38"/>
  <c r="J3020" i="38"/>
  <c r="P3018" i="38"/>
  <c r="J3018" i="38"/>
  <c r="P3017" i="38"/>
  <c r="J3017" i="38"/>
  <c r="P3015" i="38"/>
  <c r="J3015" i="38"/>
  <c r="P3014" i="38"/>
  <c r="J3014" i="38"/>
  <c r="P3013" i="38"/>
  <c r="J3013" i="38"/>
  <c r="P3012" i="38"/>
  <c r="J3012" i="38"/>
  <c r="P3010" i="38"/>
  <c r="J3010" i="38"/>
  <c r="P3009" i="38"/>
  <c r="J3009" i="38"/>
  <c r="P3008" i="38"/>
  <c r="J3008" i="38"/>
  <c r="P3006" i="38"/>
  <c r="J3006" i="38"/>
  <c r="P3005" i="38"/>
  <c r="J3005" i="38"/>
  <c r="P3003" i="38"/>
  <c r="J3003" i="38"/>
  <c r="P3002" i="38"/>
  <c r="J3002" i="38"/>
  <c r="P3000" i="38"/>
  <c r="J3000" i="38"/>
  <c r="P2999" i="38"/>
  <c r="J2999" i="38"/>
  <c r="P2998" i="38"/>
  <c r="J2998" i="38"/>
  <c r="P2997" i="38"/>
  <c r="J2997" i="38"/>
  <c r="P2992" i="38"/>
  <c r="J2992" i="38"/>
  <c r="P2991" i="38"/>
  <c r="J2991" i="38"/>
  <c r="P2990" i="38"/>
  <c r="J2990" i="38"/>
  <c r="P2989" i="38"/>
  <c r="J2989" i="38"/>
  <c r="P2988" i="38"/>
  <c r="J2988" i="38"/>
  <c r="P2987" i="38"/>
  <c r="J2987" i="38"/>
  <c r="P2986" i="38"/>
  <c r="J2986" i="38"/>
  <c r="P2985" i="38"/>
  <c r="J2985" i="38"/>
  <c r="P2984" i="38"/>
  <c r="J2984" i="38"/>
  <c r="P2982" i="38"/>
  <c r="J2982" i="38"/>
  <c r="P2981" i="38"/>
  <c r="J2981" i="38"/>
  <c r="P2980" i="38"/>
  <c r="J2980" i="38"/>
  <c r="P2978" i="38"/>
  <c r="J2978" i="38"/>
  <c r="P2977" i="38"/>
  <c r="J2977" i="38"/>
  <c r="P2975" i="38"/>
  <c r="J2975" i="38"/>
  <c r="P2974" i="38"/>
  <c r="J2974" i="38"/>
  <c r="P2973" i="38"/>
  <c r="J2973" i="38"/>
  <c r="P2972" i="38"/>
  <c r="J2972" i="38"/>
  <c r="P2970" i="38"/>
  <c r="J2970" i="38"/>
  <c r="P2969" i="38"/>
  <c r="J2969" i="38"/>
  <c r="P2968" i="38"/>
  <c r="J2968" i="38"/>
  <c r="P2967" i="38"/>
  <c r="J2967" i="38"/>
  <c r="P2965" i="38"/>
  <c r="J2965" i="38"/>
  <c r="P2964" i="38"/>
  <c r="J2964" i="38"/>
  <c r="P2963" i="38"/>
  <c r="J2963" i="38"/>
  <c r="P2961" i="38"/>
  <c r="J2961" i="38"/>
  <c r="P2960" i="38"/>
  <c r="J2960" i="38"/>
  <c r="P2959" i="38"/>
  <c r="J2959" i="38"/>
  <c r="P2958" i="38"/>
  <c r="J2958" i="38"/>
  <c r="P2956" i="38"/>
  <c r="J2956" i="38"/>
  <c r="P2955" i="38"/>
  <c r="J2955" i="38"/>
  <c r="P2954" i="38"/>
  <c r="J2954" i="38"/>
  <c r="P2953" i="38"/>
  <c r="J2953" i="38"/>
  <c r="P2952" i="38"/>
  <c r="J2952" i="38"/>
  <c r="P2951" i="38"/>
  <c r="J2951" i="38"/>
  <c r="P2950" i="38"/>
  <c r="J2950" i="38"/>
  <c r="P2949" i="38"/>
  <c r="J2949" i="38"/>
  <c r="P2948" i="38"/>
  <c r="J2948" i="38"/>
  <c r="P2947" i="38"/>
  <c r="J2947" i="38"/>
  <c r="P2946" i="38"/>
  <c r="J2946" i="38"/>
  <c r="P2945" i="38"/>
  <c r="J2945" i="38"/>
  <c r="P2942" i="38"/>
  <c r="J2942" i="38"/>
  <c r="P2941" i="38"/>
  <c r="J2941" i="38"/>
  <c r="P2940" i="38"/>
  <c r="J2940" i="38"/>
  <c r="P2939" i="38"/>
  <c r="J2939" i="38"/>
  <c r="P2938" i="38"/>
  <c r="J2938" i="38"/>
  <c r="P2937" i="38"/>
  <c r="J2937" i="38"/>
  <c r="P2935" i="38"/>
  <c r="J2935" i="38"/>
  <c r="P2933" i="38"/>
  <c r="J2933" i="38"/>
  <c r="P2932" i="38"/>
  <c r="J2932" i="38"/>
  <c r="P2931" i="38"/>
  <c r="J2931" i="38"/>
  <c r="P2930" i="38"/>
  <c r="J2930" i="38"/>
  <c r="P2928" i="38"/>
  <c r="J2928" i="38"/>
  <c r="P2926" i="38"/>
  <c r="J2926" i="38"/>
  <c r="P2925" i="38"/>
  <c r="J2925" i="38"/>
  <c r="P2924" i="38"/>
  <c r="J2924" i="38"/>
  <c r="P2923" i="38"/>
  <c r="J2923" i="38"/>
  <c r="P2922" i="38"/>
  <c r="J2922" i="38"/>
  <c r="P2921" i="38"/>
  <c r="J2921" i="38"/>
  <c r="P2920" i="38"/>
  <c r="J2920" i="38"/>
  <c r="P2919" i="38"/>
  <c r="J2919" i="38"/>
  <c r="P2918" i="38"/>
  <c r="J2918" i="38"/>
  <c r="P2917" i="38"/>
  <c r="J2917" i="38"/>
  <c r="P2916" i="38"/>
  <c r="J2916" i="38"/>
  <c r="P2909" i="38"/>
  <c r="J2909" i="38"/>
  <c r="P2908" i="38"/>
  <c r="J2908" i="38"/>
  <c r="P2907" i="38"/>
  <c r="J2907" i="38"/>
  <c r="P2906" i="38"/>
  <c r="J2906" i="38"/>
  <c r="P2905" i="38"/>
  <c r="J2905" i="38"/>
  <c r="P2904" i="38"/>
  <c r="J2904" i="38"/>
  <c r="P2903" i="38"/>
  <c r="J2903" i="38"/>
  <c r="P2902" i="38"/>
  <c r="J2902" i="38"/>
  <c r="P2901" i="38"/>
  <c r="J2901" i="38"/>
  <c r="P2899" i="38"/>
  <c r="J2899" i="38"/>
  <c r="P2898" i="38"/>
  <c r="J2898" i="38"/>
  <c r="P2897" i="38"/>
  <c r="J2897" i="38"/>
  <c r="P2895" i="38"/>
  <c r="J2895" i="38"/>
  <c r="P2894" i="38"/>
  <c r="J2894" i="38"/>
  <c r="P2892" i="38"/>
  <c r="J2892" i="38"/>
  <c r="P2891" i="38"/>
  <c r="J2891" i="38"/>
  <c r="P2890" i="38"/>
  <c r="J2890" i="38"/>
  <c r="P2889" i="38"/>
  <c r="J2889" i="38"/>
  <c r="P2888" i="38"/>
  <c r="J2888" i="38"/>
  <c r="P2887" i="38"/>
  <c r="J2887" i="38"/>
  <c r="P2886" i="38"/>
  <c r="J2886" i="38"/>
  <c r="P2885" i="38"/>
  <c r="J2885" i="38"/>
  <c r="P2884" i="38"/>
  <c r="J2884" i="38"/>
  <c r="P2881" i="38"/>
  <c r="J2881" i="38"/>
  <c r="P2880" i="38"/>
  <c r="J2880" i="38"/>
  <c r="P2879" i="38"/>
  <c r="J2879" i="38"/>
  <c r="P2878" i="38"/>
  <c r="J2878" i="38"/>
  <c r="P2877" i="38"/>
  <c r="J2877" i="38"/>
  <c r="P2876" i="38"/>
  <c r="J2876" i="38"/>
  <c r="P2875" i="38"/>
  <c r="J2875" i="38"/>
  <c r="P2874" i="38"/>
  <c r="J2874" i="38"/>
  <c r="P2873" i="38"/>
  <c r="J2873" i="38"/>
  <c r="P2871" i="38"/>
  <c r="J2871" i="38"/>
  <c r="P2870" i="38"/>
  <c r="J2870" i="38"/>
  <c r="P2869" i="38"/>
  <c r="J2869" i="38"/>
  <c r="P2867" i="38"/>
  <c r="J2867" i="38"/>
  <c r="P2866" i="38"/>
  <c r="J2866" i="38"/>
  <c r="P2864" i="38"/>
  <c r="J2864" i="38"/>
  <c r="P2863" i="38"/>
  <c r="J2863" i="38"/>
  <c r="P2862" i="38"/>
  <c r="J2862" i="38"/>
  <c r="P2861" i="38"/>
  <c r="J2861" i="38"/>
  <c r="P2859" i="38"/>
  <c r="J2859" i="38"/>
  <c r="P2858" i="38"/>
  <c r="J2858" i="38"/>
  <c r="P2857" i="38"/>
  <c r="J2857" i="38"/>
  <c r="P2855" i="38"/>
  <c r="J2855" i="38"/>
  <c r="P2854" i="38"/>
  <c r="J2854" i="38"/>
  <c r="P2853" i="38"/>
  <c r="J2853" i="38"/>
  <c r="P2851" i="38"/>
  <c r="J2851" i="38"/>
  <c r="P2850" i="38"/>
  <c r="J2850" i="38"/>
  <c r="P2849" i="38"/>
  <c r="J2849" i="38"/>
  <c r="P2847" i="38"/>
  <c r="J2847" i="38"/>
  <c r="P2846" i="38"/>
  <c r="J2846" i="38"/>
  <c r="P2845" i="38"/>
  <c r="J2845" i="38"/>
  <c r="P2843" i="38"/>
  <c r="J2843" i="38"/>
  <c r="P2842" i="38"/>
  <c r="J2842" i="38"/>
  <c r="P2841" i="38"/>
  <c r="J2841" i="38"/>
  <c r="P2840" i="38"/>
  <c r="J2840" i="38"/>
  <c r="P2839" i="38"/>
  <c r="J2839" i="38"/>
  <c r="P2838" i="38"/>
  <c r="J2838" i="38"/>
  <c r="P2837" i="38"/>
  <c r="J2837" i="38"/>
  <c r="P2836" i="38"/>
  <c r="J2836" i="38"/>
  <c r="P2833" i="38"/>
  <c r="J2833" i="38"/>
  <c r="P2832" i="38"/>
  <c r="J2832" i="38"/>
  <c r="P2831" i="38"/>
  <c r="J2831" i="38"/>
  <c r="P2830" i="38"/>
  <c r="J2830" i="38"/>
  <c r="P2829" i="38"/>
  <c r="J2829" i="38"/>
  <c r="P2828" i="38"/>
  <c r="J2828" i="38"/>
  <c r="P2827" i="38"/>
  <c r="J2827" i="38"/>
  <c r="P2826" i="38"/>
  <c r="J2826" i="38"/>
  <c r="P2825" i="38"/>
  <c r="J2825" i="38"/>
  <c r="P2823" i="38"/>
  <c r="J2823" i="38"/>
  <c r="P2822" i="38"/>
  <c r="J2822" i="38"/>
  <c r="P2821" i="38"/>
  <c r="J2821" i="38"/>
  <c r="P2819" i="38"/>
  <c r="J2819" i="38"/>
  <c r="P2818" i="38"/>
  <c r="J2818" i="38"/>
  <c r="P2816" i="38"/>
  <c r="J2816" i="38"/>
  <c r="P2815" i="38"/>
  <c r="J2815" i="38"/>
  <c r="P2814" i="38"/>
  <c r="J2814" i="38"/>
  <c r="P2813" i="38"/>
  <c r="J2813" i="38"/>
  <c r="P2811" i="38"/>
  <c r="J2811" i="38"/>
  <c r="P2810" i="38"/>
  <c r="J2810" i="38"/>
  <c r="P2809" i="38"/>
  <c r="J2809" i="38"/>
  <c r="P2807" i="38"/>
  <c r="J2807" i="38"/>
  <c r="P2806" i="38"/>
  <c r="J2806" i="38"/>
  <c r="P2805" i="38"/>
  <c r="J2805" i="38"/>
  <c r="P2803" i="38"/>
  <c r="J2803" i="38"/>
  <c r="P2802" i="38"/>
  <c r="J2802" i="38"/>
  <c r="P2800" i="38"/>
  <c r="J2800" i="38"/>
  <c r="P2799" i="38"/>
  <c r="J2799" i="38"/>
  <c r="P2797" i="38"/>
  <c r="J2797" i="38"/>
  <c r="P2796" i="38"/>
  <c r="J2796" i="38"/>
  <c r="P2795" i="38"/>
  <c r="J2795" i="38"/>
  <c r="P2794" i="38"/>
  <c r="J2794" i="38"/>
  <c r="P2793" i="38"/>
  <c r="J2793" i="38"/>
  <c r="P2792" i="38"/>
  <c r="J2792" i="38"/>
  <c r="P2789" i="38"/>
  <c r="J2789" i="38"/>
  <c r="P2788" i="38"/>
  <c r="J2788" i="38"/>
  <c r="P2787" i="38"/>
  <c r="J2787" i="38"/>
  <c r="P2786" i="38"/>
  <c r="J2786" i="38"/>
  <c r="P2785" i="38"/>
  <c r="J2785" i="38"/>
  <c r="P2784" i="38"/>
  <c r="J2784" i="38"/>
  <c r="P2783" i="38"/>
  <c r="J2783" i="38"/>
  <c r="P2782" i="38"/>
  <c r="J2782" i="38"/>
  <c r="P2781" i="38"/>
  <c r="J2781" i="38"/>
  <c r="P2779" i="38"/>
  <c r="J2779" i="38"/>
  <c r="P2778" i="38"/>
  <c r="J2778" i="38"/>
  <c r="P2777" i="38"/>
  <c r="J2777" i="38"/>
  <c r="P2775" i="38"/>
  <c r="J2775" i="38"/>
  <c r="P2774" i="38"/>
  <c r="J2774" i="38"/>
  <c r="P2772" i="38"/>
  <c r="J2772" i="38"/>
  <c r="P2771" i="38"/>
  <c r="J2771" i="38"/>
  <c r="P2770" i="38"/>
  <c r="J2770" i="38"/>
  <c r="P2769" i="38"/>
  <c r="J2769" i="38"/>
  <c r="P2767" i="38"/>
  <c r="J2767" i="38"/>
  <c r="P2766" i="38"/>
  <c r="J2766" i="38"/>
  <c r="P2765" i="38"/>
  <c r="J2765" i="38"/>
  <c r="P2763" i="38"/>
  <c r="J2763" i="38"/>
  <c r="P2762" i="38"/>
  <c r="J2762" i="38"/>
  <c r="P2761" i="38"/>
  <c r="J2761" i="38"/>
  <c r="P2759" i="38"/>
  <c r="J2759" i="38"/>
  <c r="P2758" i="38"/>
  <c r="J2758" i="38"/>
  <c r="P2756" i="38"/>
  <c r="J2756" i="38"/>
  <c r="P2755" i="38"/>
  <c r="J2755" i="38"/>
  <c r="P2754" i="38"/>
  <c r="J2754" i="38"/>
  <c r="P2753" i="38"/>
  <c r="J2753" i="38"/>
  <c r="P2750" i="38"/>
  <c r="J2750" i="38"/>
  <c r="P2749" i="38"/>
  <c r="J2749" i="38"/>
  <c r="P2748" i="38"/>
  <c r="J2748" i="38"/>
  <c r="P2747" i="38"/>
  <c r="J2747" i="38"/>
  <c r="P2746" i="38"/>
  <c r="J2746" i="38"/>
  <c r="P2745" i="38"/>
  <c r="J2745" i="38"/>
  <c r="P2744" i="38"/>
  <c r="J2744" i="38"/>
  <c r="P2743" i="38"/>
  <c r="J2743" i="38"/>
  <c r="P2742" i="38"/>
  <c r="J2742" i="38"/>
  <c r="P2740" i="38"/>
  <c r="J2740" i="38"/>
  <c r="P2739" i="38"/>
  <c r="J2739" i="38"/>
  <c r="P2738" i="38"/>
  <c r="J2738" i="38"/>
  <c r="P2736" i="38"/>
  <c r="J2736" i="38"/>
  <c r="P2735" i="38"/>
  <c r="J2735" i="38"/>
  <c r="P2733" i="38"/>
  <c r="J2733" i="38"/>
  <c r="P2732" i="38"/>
  <c r="J2732" i="38"/>
  <c r="P2731" i="38"/>
  <c r="J2731" i="38"/>
  <c r="P2730" i="38"/>
  <c r="J2730" i="38"/>
  <c r="P2728" i="38"/>
  <c r="J2728" i="38"/>
  <c r="P2727" i="38"/>
  <c r="J2727" i="38"/>
  <c r="P2726" i="38"/>
  <c r="J2726" i="38"/>
  <c r="P2724" i="38"/>
  <c r="J2724" i="38"/>
  <c r="P2723" i="38"/>
  <c r="J2723" i="38"/>
  <c r="P2721" i="38"/>
  <c r="J2721" i="38"/>
  <c r="P2720" i="38"/>
  <c r="J2720" i="38"/>
  <c r="P2718" i="38"/>
  <c r="J2718" i="38"/>
  <c r="P2717" i="38"/>
  <c r="J2717" i="38"/>
  <c r="P2716" i="38"/>
  <c r="J2716" i="38"/>
  <c r="P2715" i="38"/>
  <c r="J2715" i="38"/>
  <c r="P2709" i="38"/>
  <c r="J2709" i="38"/>
  <c r="P2708" i="38"/>
  <c r="J2708" i="38"/>
  <c r="P2707" i="38"/>
  <c r="J2707" i="38"/>
  <c r="P2706" i="38"/>
  <c r="J2706" i="38"/>
  <c r="P2705" i="38"/>
  <c r="J2705" i="38"/>
  <c r="P2704" i="38"/>
  <c r="J2704" i="38"/>
  <c r="P2703" i="38"/>
  <c r="J2703" i="38"/>
  <c r="P2702" i="38"/>
  <c r="J2702" i="38"/>
  <c r="P2701" i="38"/>
  <c r="J2701" i="38"/>
  <c r="P2699" i="38"/>
  <c r="J2699" i="38"/>
  <c r="P2698" i="38"/>
  <c r="J2698" i="38"/>
  <c r="P2697" i="38"/>
  <c r="J2697" i="38"/>
  <c r="P2695" i="38"/>
  <c r="J2695" i="38"/>
  <c r="P2694" i="38"/>
  <c r="J2694" i="38"/>
  <c r="P2692" i="38"/>
  <c r="J2692" i="38"/>
  <c r="P2691" i="38"/>
  <c r="J2691" i="38"/>
  <c r="P2690" i="38"/>
  <c r="J2690" i="38"/>
  <c r="P2689" i="38"/>
  <c r="J2689" i="38"/>
  <c r="P2687" i="38"/>
  <c r="J2687" i="38"/>
  <c r="P2686" i="38"/>
  <c r="J2686" i="38"/>
  <c r="P2685" i="38"/>
  <c r="J2685" i="38"/>
  <c r="P2684" i="38"/>
  <c r="J2684" i="38"/>
  <c r="P2682" i="38"/>
  <c r="J2682" i="38"/>
  <c r="P2681" i="38"/>
  <c r="J2681" i="38"/>
  <c r="P2680" i="38"/>
  <c r="J2680" i="38"/>
  <c r="P2679" i="38"/>
  <c r="J2679" i="38"/>
  <c r="P2677" i="38"/>
  <c r="J2677" i="38"/>
  <c r="P2676" i="38"/>
  <c r="J2676" i="38"/>
  <c r="P2675" i="38"/>
  <c r="J2675" i="38"/>
  <c r="P2673" i="38"/>
  <c r="J2673" i="38"/>
  <c r="P2672" i="38"/>
  <c r="J2672" i="38"/>
  <c r="P2671" i="38"/>
  <c r="J2671" i="38"/>
  <c r="P2670" i="38"/>
  <c r="J2670" i="38"/>
  <c r="P2669" i="38"/>
  <c r="J2669" i="38"/>
  <c r="P2668" i="38"/>
  <c r="J2668" i="38"/>
  <c r="P2665" i="38"/>
  <c r="J2665" i="38"/>
  <c r="P2664" i="38"/>
  <c r="J2664" i="38"/>
  <c r="P2663" i="38"/>
  <c r="J2663" i="38"/>
  <c r="P2662" i="38"/>
  <c r="J2662" i="38"/>
  <c r="P2661" i="38"/>
  <c r="J2661" i="38"/>
  <c r="P2660" i="38"/>
  <c r="J2660" i="38"/>
  <c r="P2659" i="38"/>
  <c r="J2659" i="38"/>
  <c r="P2658" i="38"/>
  <c r="J2658" i="38"/>
  <c r="P2657" i="38"/>
  <c r="J2657" i="38"/>
  <c r="P2655" i="38"/>
  <c r="J2655" i="38"/>
  <c r="P2654" i="38"/>
  <c r="J2654" i="38"/>
  <c r="P2653" i="38"/>
  <c r="J2653" i="38"/>
  <c r="P2651" i="38"/>
  <c r="J2651" i="38"/>
  <c r="P2650" i="38"/>
  <c r="J2650" i="38"/>
  <c r="P2648" i="38"/>
  <c r="J2648" i="38"/>
  <c r="P2647" i="38"/>
  <c r="J2647" i="38"/>
  <c r="P2646" i="38"/>
  <c r="J2646" i="38"/>
  <c r="P2645" i="38"/>
  <c r="J2645" i="38"/>
  <c r="P2643" i="38"/>
  <c r="J2643" i="38"/>
  <c r="P2642" i="38"/>
  <c r="J2642" i="38"/>
  <c r="P2641" i="38"/>
  <c r="J2641" i="38"/>
  <c r="P2640" i="38"/>
  <c r="J2640" i="38"/>
  <c r="P2638" i="38"/>
  <c r="J2638" i="38"/>
  <c r="P2637" i="38"/>
  <c r="J2637" i="38"/>
  <c r="P2636" i="38"/>
  <c r="J2636" i="38"/>
  <c r="P2635" i="38"/>
  <c r="J2635" i="38"/>
  <c r="P2633" i="38"/>
  <c r="J2633" i="38"/>
  <c r="P2632" i="38"/>
  <c r="J2632" i="38"/>
  <c r="P2631" i="38"/>
  <c r="J2631" i="38"/>
  <c r="P2629" i="38"/>
  <c r="J2629" i="38"/>
  <c r="P2628" i="38"/>
  <c r="J2628" i="38"/>
  <c r="P2627" i="38"/>
  <c r="J2627" i="38"/>
  <c r="P2626" i="38"/>
  <c r="J2626" i="38"/>
  <c r="P2625" i="38"/>
  <c r="J2625" i="38"/>
  <c r="P2624" i="38"/>
  <c r="J2624" i="38"/>
  <c r="P2621" i="38"/>
  <c r="J2621" i="38"/>
  <c r="P2620" i="38"/>
  <c r="J2620" i="38"/>
  <c r="P2619" i="38"/>
  <c r="J2619" i="38"/>
  <c r="P2618" i="38"/>
  <c r="J2618" i="38"/>
  <c r="P2617" i="38"/>
  <c r="J2617" i="38"/>
  <c r="P2616" i="38"/>
  <c r="J2616" i="38"/>
  <c r="P2615" i="38"/>
  <c r="J2615" i="38"/>
  <c r="P2614" i="38"/>
  <c r="J2614" i="38"/>
  <c r="P2613" i="38"/>
  <c r="J2613" i="38"/>
  <c r="P2611" i="38"/>
  <c r="J2611" i="38"/>
  <c r="P2610" i="38"/>
  <c r="J2610" i="38"/>
  <c r="P2609" i="38"/>
  <c r="J2609" i="38"/>
  <c r="P2607" i="38"/>
  <c r="J2607" i="38"/>
  <c r="P2606" i="38"/>
  <c r="J2606" i="38"/>
  <c r="P2604" i="38"/>
  <c r="J2604" i="38"/>
  <c r="P2603" i="38"/>
  <c r="J2603" i="38"/>
  <c r="P2602" i="38"/>
  <c r="J2602" i="38"/>
  <c r="P2601" i="38"/>
  <c r="J2601" i="38"/>
  <c r="P2599" i="38"/>
  <c r="J2599" i="38"/>
  <c r="P2598" i="38"/>
  <c r="J2598" i="38"/>
  <c r="P2597" i="38"/>
  <c r="J2597" i="38"/>
  <c r="P2595" i="38"/>
  <c r="J2595" i="38"/>
  <c r="P2594" i="38"/>
  <c r="J2594" i="38"/>
  <c r="P2593" i="38"/>
  <c r="J2593" i="38"/>
  <c r="P2592" i="38"/>
  <c r="J2592" i="38"/>
  <c r="P2589" i="38"/>
  <c r="J2589" i="38"/>
  <c r="P2588" i="38"/>
  <c r="J2588" i="38"/>
  <c r="P2586" i="38"/>
  <c r="J2586" i="38"/>
  <c r="P2585" i="38"/>
  <c r="J2585" i="38"/>
  <c r="P2584" i="38"/>
  <c r="J2584" i="38"/>
  <c r="P2583" i="38"/>
  <c r="J2583" i="38"/>
  <c r="P2577" i="38"/>
  <c r="J2577" i="38"/>
  <c r="P2576" i="38"/>
  <c r="J2576" i="38"/>
  <c r="P2575" i="38"/>
  <c r="J2575" i="38"/>
  <c r="P2574" i="38"/>
  <c r="J2574" i="38"/>
  <c r="P2573" i="38"/>
  <c r="J2573" i="38"/>
  <c r="P2572" i="38"/>
  <c r="J2572" i="38"/>
  <c r="P2571" i="38"/>
  <c r="J2571" i="38"/>
  <c r="P2570" i="38"/>
  <c r="J2570" i="38"/>
  <c r="P2569" i="38"/>
  <c r="J2569" i="38"/>
  <c r="P2567" i="38"/>
  <c r="J2567" i="38"/>
  <c r="P2566" i="38"/>
  <c r="J2566" i="38"/>
  <c r="P2565" i="38"/>
  <c r="J2565" i="38"/>
  <c r="P2563" i="38"/>
  <c r="J2563" i="38"/>
  <c r="P2562" i="38"/>
  <c r="J2562" i="38"/>
  <c r="P2560" i="38"/>
  <c r="J2560" i="38"/>
  <c r="P2559" i="38"/>
  <c r="J2559" i="38"/>
  <c r="P2558" i="38"/>
  <c r="J2558" i="38"/>
  <c r="P2557" i="38"/>
  <c r="J2557" i="38"/>
  <c r="P2555" i="38"/>
  <c r="J2555" i="38"/>
  <c r="P2554" i="38"/>
  <c r="J2554" i="38"/>
  <c r="P2552" i="38"/>
  <c r="J2552" i="38"/>
  <c r="P2551" i="38"/>
  <c r="J2551" i="38"/>
  <c r="P2550" i="38"/>
  <c r="J2550" i="38"/>
  <c r="P2548" i="38"/>
  <c r="J2548" i="38"/>
  <c r="P2547" i="38"/>
  <c r="J2547" i="38"/>
  <c r="P2546" i="38"/>
  <c r="J2546" i="38"/>
  <c r="P2545" i="38"/>
  <c r="J2545" i="38"/>
  <c r="P2544" i="38"/>
  <c r="J2544" i="38"/>
  <c r="P2543" i="38"/>
  <c r="J2543" i="38"/>
  <c r="P2542" i="38"/>
  <c r="J2542" i="38"/>
  <c r="P2541" i="38"/>
  <c r="J2541" i="38"/>
  <c r="P2540" i="38"/>
  <c r="J2540" i="38"/>
  <c r="P2538" i="38"/>
  <c r="J2538" i="38"/>
  <c r="P2537" i="38"/>
  <c r="J2537" i="38"/>
  <c r="P2536" i="38"/>
  <c r="J2536" i="38"/>
  <c r="P2535" i="38"/>
  <c r="J2535" i="38"/>
  <c r="P2534" i="38"/>
  <c r="J2534" i="38"/>
  <c r="P2533" i="38"/>
  <c r="J2533" i="38"/>
  <c r="P2532" i="38"/>
  <c r="J2532" i="38"/>
  <c r="P2531" i="38"/>
  <c r="J2531" i="38"/>
  <c r="P2529" i="38"/>
  <c r="J2529" i="38"/>
  <c r="P2528" i="38"/>
  <c r="J2528" i="38"/>
  <c r="P2527" i="38"/>
  <c r="J2527" i="38"/>
  <c r="P2526" i="38"/>
  <c r="J2526" i="38"/>
  <c r="P2525" i="38"/>
  <c r="J2525" i="38"/>
  <c r="P2524" i="38"/>
  <c r="J2524" i="38"/>
  <c r="P2523" i="38"/>
  <c r="J2523" i="38"/>
  <c r="P2521" i="38"/>
  <c r="J2521" i="38"/>
  <c r="P2520" i="38"/>
  <c r="J2520" i="38"/>
  <c r="P2519" i="38"/>
  <c r="J2519" i="38"/>
  <c r="P2518" i="38"/>
  <c r="J2518" i="38"/>
  <c r="P2517" i="38"/>
  <c r="J2517" i="38"/>
  <c r="P2515" i="38"/>
  <c r="J2515" i="38"/>
  <c r="P2514" i="38"/>
  <c r="J2514" i="38"/>
  <c r="P2513" i="38"/>
  <c r="J2513" i="38"/>
  <c r="P2512" i="38"/>
  <c r="J2512" i="38"/>
  <c r="P2511" i="38"/>
  <c r="J2511" i="38"/>
  <c r="P2509" i="38"/>
  <c r="J2509" i="38"/>
  <c r="P2508" i="38"/>
  <c r="J2508" i="38"/>
  <c r="P2507" i="38"/>
  <c r="J2507" i="38"/>
  <c r="P2506" i="38"/>
  <c r="J2506" i="38"/>
  <c r="P2504" i="38"/>
  <c r="J2504" i="38"/>
  <c r="P2503" i="38"/>
  <c r="J2503" i="38"/>
  <c r="P2502" i="38"/>
  <c r="J2502" i="38"/>
  <c r="P2501" i="38"/>
  <c r="J2501" i="38"/>
  <c r="P2500" i="38"/>
  <c r="J2500" i="38"/>
  <c r="P2499" i="38"/>
  <c r="J2499" i="38"/>
  <c r="P2498" i="38"/>
  <c r="J2498" i="38"/>
  <c r="P2496" i="38"/>
  <c r="J2496" i="38"/>
  <c r="P2494" i="38"/>
  <c r="J2494" i="38"/>
  <c r="P2493" i="38"/>
  <c r="J2493" i="38"/>
  <c r="P2492" i="38"/>
  <c r="J2492" i="38"/>
  <c r="P2491" i="38"/>
  <c r="J2491" i="38"/>
  <c r="P2490" i="38"/>
  <c r="J2490" i="38"/>
  <c r="P2489" i="38"/>
  <c r="J2489" i="38"/>
  <c r="P2488" i="38"/>
  <c r="J2488" i="38"/>
  <c r="P2487" i="38"/>
  <c r="J2487" i="38"/>
  <c r="P2486" i="38"/>
  <c r="J2486" i="38"/>
  <c r="P2481" i="38"/>
  <c r="J2481" i="38"/>
  <c r="P2480" i="38"/>
  <c r="J2480" i="38"/>
  <c r="P2479" i="38"/>
  <c r="J2479" i="38"/>
  <c r="P2478" i="38"/>
  <c r="J2478" i="38"/>
  <c r="P2477" i="38"/>
  <c r="J2477" i="38"/>
  <c r="P2476" i="38"/>
  <c r="J2476" i="38"/>
  <c r="P2475" i="38"/>
  <c r="J2475" i="38"/>
  <c r="P2474" i="38"/>
  <c r="J2474" i="38"/>
  <c r="P2473" i="38"/>
  <c r="J2473" i="38"/>
  <c r="P2471" i="38"/>
  <c r="J2471" i="38"/>
  <c r="P2470" i="38"/>
  <c r="J2470" i="38"/>
  <c r="P2469" i="38"/>
  <c r="J2469" i="38"/>
  <c r="P2467" i="38"/>
  <c r="J2467" i="38"/>
  <c r="P2466" i="38"/>
  <c r="J2466" i="38"/>
  <c r="P2465" i="38"/>
  <c r="J2465" i="38"/>
  <c r="P2464" i="38"/>
  <c r="J2464" i="38"/>
  <c r="P2463" i="38"/>
  <c r="J2463" i="38"/>
  <c r="P2461" i="38"/>
  <c r="J2461" i="38"/>
  <c r="P2460" i="38"/>
  <c r="J2460" i="38"/>
  <c r="P2459" i="38"/>
  <c r="J2459" i="38"/>
  <c r="P2457" i="38"/>
  <c r="J2457" i="38"/>
  <c r="P2456" i="38"/>
  <c r="J2456" i="38"/>
  <c r="P2455" i="38"/>
  <c r="J2455" i="38"/>
  <c r="P2453" i="38"/>
  <c r="J2453" i="38"/>
  <c r="P2452" i="38"/>
  <c r="J2452" i="38"/>
  <c r="P2451" i="38"/>
  <c r="J2451" i="38"/>
  <c r="P2449" i="38"/>
  <c r="J2449" i="38"/>
  <c r="P2448" i="38"/>
  <c r="J2448" i="38"/>
  <c r="P2447" i="38"/>
  <c r="J2447" i="38"/>
  <c r="P2446" i="38"/>
  <c r="J2446" i="38"/>
  <c r="P2443" i="38"/>
  <c r="J2443" i="38"/>
  <c r="P2442" i="38"/>
  <c r="J2442" i="38"/>
  <c r="P2441" i="38"/>
  <c r="J2441" i="38"/>
  <c r="P2440" i="38"/>
  <c r="J2440" i="38"/>
  <c r="P2439" i="38"/>
  <c r="J2439" i="38"/>
  <c r="P2438" i="38"/>
  <c r="J2438" i="38"/>
  <c r="P2437" i="38"/>
  <c r="J2437" i="38"/>
  <c r="P2436" i="38"/>
  <c r="J2436" i="38"/>
  <c r="P2435" i="38"/>
  <c r="J2435" i="38"/>
  <c r="P2433" i="38"/>
  <c r="J2433" i="38"/>
  <c r="P2432" i="38"/>
  <c r="J2432" i="38"/>
  <c r="P2431" i="38"/>
  <c r="J2431" i="38"/>
  <c r="P2429" i="38"/>
  <c r="J2429" i="38"/>
  <c r="P2428" i="38"/>
  <c r="J2428" i="38"/>
  <c r="P2427" i="38"/>
  <c r="J2427" i="38"/>
  <c r="P2426" i="38"/>
  <c r="J2426" i="38"/>
  <c r="P2425" i="38"/>
  <c r="J2425" i="38"/>
  <c r="P2423" i="38"/>
  <c r="J2423" i="38"/>
  <c r="P2422" i="38"/>
  <c r="J2422" i="38"/>
  <c r="P2421" i="38"/>
  <c r="J2421" i="38"/>
  <c r="P2419" i="38"/>
  <c r="J2419" i="38"/>
  <c r="P2418" i="38"/>
  <c r="J2418" i="38"/>
  <c r="P2417" i="38"/>
  <c r="J2417" i="38"/>
  <c r="P2415" i="38"/>
  <c r="J2415" i="38"/>
  <c r="P2414" i="38"/>
  <c r="J2414" i="38"/>
  <c r="P2413" i="38"/>
  <c r="J2413" i="38"/>
  <c r="P2411" i="38"/>
  <c r="J2411" i="38"/>
  <c r="P2410" i="38"/>
  <c r="J2410" i="38"/>
  <c r="P2409" i="38"/>
  <c r="J2409" i="38"/>
  <c r="P2408" i="38"/>
  <c r="J2408" i="38"/>
  <c r="P2405" i="38"/>
  <c r="J2405" i="38"/>
  <c r="P2404" i="38"/>
  <c r="J2404" i="38"/>
  <c r="P2403" i="38"/>
  <c r="J2403" i="38"/>
  <c r="P2402" i="38"/>
  <c r="J2402" i="38"/>
  <c r="P2401" i="38"/>
  <c r="J2401" i="38"/>
  <c r="P2400" i="38"/>
  <c r="J2400" i="38"/>
  <c r="P2399" i="38"/>
  <c r="J2399" i="38"/>
  <c r="P2398" i="38"/>
  <c r="J2398" i="38"/>
  <c r="P2397" i="38"/>
  <c r="J2397" i="38"/>
  <c r="P2395" i="38"/>
  <c r="J2395" i="38"/>
  <c r="P2394" i="38"/>
  <c r="J2394" i="38"/>
  <c r="P2393" i="38"/>
  <c r="J2393" i="38"/>
  <c r="P2391" i="38"/>
  <c r="J2391" i="38"/>
  <c r="P2390" i="38"/>
  <c r="J2390" i="38"/>
  <c r="P2389" i="38"/>
  <c r="J2389" i="38"/>
  <c r="P2388" i="38"/>
  <c r="J2388" i="38"/>
  <c r="P2387" i="38"/>
  <c r="J2387" i="38"/>
  <c r="P2385" i="38"/>
  <c r="J2385" i="38"/>
  <c r="P2384" i="38"/>
  <c r="J2384" i="38"/>
  <c r="P2383" i="38"/>
  <c r="J2383" i="38"/>
  <c r="P2381" i="38"/>
  <c r="J2381" i="38"/>
  <c r="P2380" i="38"/>
  <c r="J2380" i="38"/>
  <c r="P2378" i="38"/>
  <c r="J2378" i="38"/>
  <c r="P2377" i="38"/>
  <c r="J2377" i="38"/>
  <c r="P2376" i="38"/>
  <c r="J2376" i="38"/>
  <c r="P2374" i="38"/>
  <c r="J2374" i="38"/>
  <c r="P2373" i="38"/>
  <c r="J2373" i="38"/>
  <c r="P2372" i="38"/>
  <c r="J2372" i="38"/>
  <c r="P2371" i="38"/>
  <c r="J2371" i="38"/>
  <c r="P2368" i="38"/>
  <c r="J2368" i="38"/>
  <c r="P2367" i="38"/>
  <c r="J2367" i="38"/>
  <c r="P2366" i="38"/>
  <c r="J2366" i="38"/>
  <c r="P2365" i="38"/>
  <c r="J2365" i="38"/>
  <c r="P2364" i="38"/>
  <c r="J2364" i="38"/>
  <c r="P2363" i="38"/>
  <c r="J2363" i="38"/>
  <c r="P2362" i="38"/>
  <c r="J2362" i="38"/>
  <c r="P2361" i="38"/>
  <c r="J2361" i="38"/>
  <c r="P2360" i="38"/>
  <c r="J2360" i="38"/>
  <c r="P2358" i="38"/>
  <c r="J2358" i="38"/>
  <c r="P2357" i="38"/>
  <c r="J2357" i="38"/>
  <c r="P2356" i="38"/>
  <c r="J2356" i="38"/>
  <c r="P2354" i="38"/>
  <c r="J2354" i="38"/>
  <c r="P2353" i="38"/>
  <c r="J2353" i="38"/>
  <c r="P2352" i="38"/>
  <c r="J2352" i="38"/>
  <c r="P2351" i="38"/>
  <c r="J2351" i="38"/>
  <c r="P2350" i="38"/>
  <c r="J2350" i="38"/>
  <c r="P2348" i="38"/>
  <c r="J2348" i="38"/>
  <c r="P2347" i="38"/>
  <c r="J2347" i="38"/>
  <c r="P2346" i="38"/>
  <c r="J2346" i="38"/>
  <c r="P2344" i="38"/>
  <c r="J2344" i="38"/>
  <c r="P2343" i="38"/>
  <c r="J2343" i="38"/>
  <c r="P2342" i="38"/>
  <c r="J2342" i="38"/>
  <c r="P2341" i="38"/>
  <c r="J2341" i="38"/>
  <c r="P2339" i="38"/>
  <c r="J2339" i="38"/>
  <c r="P2338" i="38"/>
  <c r="J2338" i="38"/>
  <c r="P2337" i="38"/>
  <c r="J2337" i="38"/>
  <c r="P2335" i="38"/>
  <c r="J2335" i="38"/>
  <c r="P2334" i="38"/>
  <c r="J2334" i="38"/>
  <c r="P2333" i="38"/>
  <c r="J2333" i="38"/>
  <c r="P2332" i="38"/>
  <c r="J2332" i="38"/>
  <c r="P2329" i="38"/>
  <c r="J2329" i="38"/>
  <c r="P2328" i="38"/>
  <c r="J2328" i="38"/>
  <c r="P2327" i="38"/>
  <c r="J2327" i="38"/>
  <c r="P2326" i="38"/>
  <c r="J2326" i="38"/>
  <c r="P2325" i="38"/>
  <c r="J2325" i="38"/>
  <c r="P2324" i="38"/>
  <c r="J2324" i="38"/>
  <c r="P2323" i="38"/>
  <c r="J2323" i="38"/>
  <c r="P2322" i="38"/>
  <c r="J2322" i="38"/>
  <c r="P2321" i="38"/>
  <c r="J2321" i="38"/>
  <c r="P2319" i="38"/>
  <c r="J2319" i="38"/>
  <c r="P2318" i="38"/>
  <c r="J2318" i="38"/>
  <c r="P2317" i="38"/>
  <c r="J2317" i="38"/>
  <c r="P2315" i="38"/>
  <c r="J2315" i="38"/>
  <c r="P2314" i="38"/>
  <c r="J2314" i="38"/>
  <c r="P2312" i="38"/>
  <c r="J2312" i="38"/>
  <c r="P2311" i="38"/>
  <c r="J2311" i="38"/>
  <c r="P2310" i="38"/>
  <c r="J2310" i="38"/>
  <c r="P2309" i="38"/>
  <c r="J2309" i="38"/>
  <c r="P2307" i="38"/>
  <c r="J2307" i="38"/>
  <c r="P2306" i="38"/>
  <c r="J2306" i="38"/>
  <c r="P2305" i="38"/>
  <c r="J2305" i="38"/>
  <c r="P2303" i="38"/>
  <c r="J2303" i="38"/>
  <c r="P2302" i="38"/>
  <c r="J2302" i="38"/>
  <c r="P2301" i="38"/>
  <c r="J2301" i="38"/>
  <c r="P2300" i="38"/>
  <c r="J2300" i="38"/>
  <c r="P2298" i="38"/>
  <c r="J2298" i="38"/>
  <c r="P2297" i="38"/>
  <c r="J2297" i="38"/>
  <c r="P2296" i="38"/>
  <c r="J2296" i="38"/>
  <c r="P2294" i="38"/>
  <c r="J2294" i="38"/>
  <c r="P2293" i="38"/>
  <c r="J2293" i="38"/>
  <c r="P2291" i="38"/>
  <c r="J2291" i="38"/>
  <c r="P2290" i="38"/>
  <c r="J2290" i="38"/>
  <c r="P2289" i="38"/>
  <c r="J2289" i="38"/>
  <c r="P2288" i="38"/>
  <c r="J2288" i="38"/>
  <c r="P2281" i="38"/>
  <c r="J2281" i="38"/>
  <c r="P2280" i="38"/>
  <c r="J2280" i="38"/>
  <c r="P2279" i="38"/>
  <c r="J2279" i="38"/>
  <c r="P2278" i="38"/>
  <c r="J2278" i="38"/>
  <c r="P2277" i="38"/>
  <c r="J2277" i="38"/>
  <c r="P2276" i="38"/>
  <c r="J2276" i="38"/>
  <c r="P2275" i="38"/>
  <c r="J2275" i="38"/>
  <c r="P2274" i="38"/>
  <c r="J2274" i="38"/>
  <c r="P2273" i="38"/>
  <c r="J2273" i="38"/>
  <c r="P2271" i="38"/>
  <c r="J2271" i="38"/>
  <c r="P2270" i="38"/>
  <c r="J2270" i="38"/>
  <c r="P2269" i="38"/>
  <c r="J2269" i="38"/>
  <c r="P2267" i="38"/>
  <c r="J2267" i="38"/>
  <c r="P2266" i="38"/>
  <c r="J2266" i="38"/>
  <c r="P2265" i="38"/>
  <c r="J2265" i="38"/>
  <c r="P2263" i="38"/>
  <c r="J2263" i="38"/>
  <c r="P2262" i="38"/>
  <c r="J2262" i="38"/>
  <c r="P2261" i="38"/>
  <c r="J2261" i="38"/>
  <c r="P2260" i="38"/>
  <c r="J2260" i="38"/>
  <c r="P2258" i="38"/>
  <c r="J2258" i="38"/>
  <c r="P2257" i="38"/>
  <c r="J2257" i="38"/>
  <c r="P2256" i="38"/>
  <c r="J2256" i="38"/>
  <c r="P2254" i="38"/>
  <c r="J2254" i="38"/>
  <c r="P2253" i="38"/>
  <c r="J2253" i="38"/>
  <c r="P2252" i="38"/>
  <c r="J2252" i="38"/>
  <c r="P2250" i="38"/>
  <c r="J2250" i="38"/>
  <c r="P2249" i="38"/>
  <c r="J2249" i="38"/>
  <c r="P2248" i="38"/>
  <c r="J2248" i="38"/>
  <c r="P2246" i="38"/>
  <c r="J2246" i="38"/>
  <c r="P2245" i="38"/>
  <c r="J2245" i="38"/>
  <c r="P2244" i="38"/>
  <c r="J2244" i="38"/>
  <c r="P2243" i="38"/>
  <c r="J2243" i="38"/>
  <c r="P2242" i="38"/>
  <c r="J2242" i="38"/>
  <c r="P2241" i="38"/>
  <c r="J2241" i="38"/>
  <c r="P2240" i="38"/>
  <c r="J2240" i="38"/>
  <c r="P2239" i="38"/>
  <c r="J2239" i="38"/>
  <c r="P2238" i="38"/>
  <c r="J2238" i="38"/>
  <c r="P2237" i="38"/>
  <c r="J2237" i="38"/>
  <c r="P2232" i="38"/>
  <c r="J2232" i="38"/>
  <c r="P2231" i="38"/>
  <c r="J2231" i="38"/>
  <c r="P2230" i="38"/>
  <c r="J2230" i="38"/>
  <c r="P2229" i="38"/>
  <c r="J2229" i="38"/>
  <c r="P2228" i="38"/>
  <c r="J2228" i="38"/>
  <c r="P2227" i="38"/>
  <c r="J2227" i="38"/>
  <c r="P2226" i="38"/>
  <c r="J2226" i="38"/>
  <c r="P2225" i="38"/>
  <c r="J2225" i="38"/>
  <c r="P2224" i="38"/>
  <c r="J2224" i="38"/>
  <c r="P2222" i="38"/>
  <c r="J2222" i="38"/>
  <c r="P2221" i="38"/>
  <c r="J2221" i="38"/>
  <c r="P2220" i="38"/>
  <c r="J2220" i="38"/>
  <c r="P2218" i="38"/>
  <c r="J2218" i="38"/>
  <c r="P2217" i="38"/>
  <c r="J2217" i="38"/>
  <c r="P2215" i="38"/>
  <c r="J2215" i="38"/>
  <c r="P2214" i="38"/>
  <c r="J2214" i="38"/>
  <c r="P2213" i="38"/>
  <c r="J2213" i="38"/>
  <c r="P2212" i="38"/>
  <c r="J2212" i="38"/>
  <c r="P2210" i="38"/>
  <c r="J2210" i="38"/>
  <c r="P2209" i="38"/>
  <c r="J2209" i="38"/>
  <c r="P2208" i="38"/>
  <c r="J2208" i="38"/>
  <c r="P2206" i="38"/>
  <c r="J2206" i="38"/>
  <c r="P2205" i="38"/>
  <c r="J2205" i="38"/>
  <c r="P2204" i="38"/>
  <c r="J2204" i="38"/>
  <c r="P2202" i="38"/>
  <c r="J2202" i="38"/>
  <c r="P2201" i="38"/>
  <c r="J2201" i="38"/>
  <c r="P2199" i="38"/>
  <c r="J2199" i="38"/>
  <c r="P2197" i="38"/>
  <c r="J2197" i="38"/>
  <c r="P2196" i="38"/>
  <c r="J2196" i="38"/>
  <c r="P2195" i="38"/>
  <c r="J2195" i="38"/>
  <c r="P2193" i="38"/>
  <c r="J2193" i="38"/>
  <c r="P2192" i="38"/>
  <c r="J2192" i="38"/>
  <c r="P2191" i="38"/>
  <c r="J2191" i="38"/>
  <c r="P2190" i="38"/>
  <c r="J2190" i="38"/>
  <c r="P2189" i="38"/>
  <c r="J2189" i="38"/>
  <c r="P2188" i="38"/>
  <c r="J2188" i="38"/>
  <c r="P2187" i="38"/>
  <c r="J2187" i="38"/>
  <c r="P2184" i="38"/>
  <c r="J2184" i="38"/>
  <c r="P2183" i="38"/>
  <c r="J2183" i="38"/>
  <c r="P2182" i="38"/>
  <c r="J2182" i="38"/>
  <c r="P2181" i="38"/>
  <c r="J2181" i="38"/>
  <c r="P2180" i="38"/>
  <c r="J2180" i="38"/>
  <c r="P2179" i="38"/>
  <c r="J2179" i="38"/>
  <c r="P2178" i="38"/>
  <c r="J2178" i="38"/>
  <c r="P2177" i="38"/>
  <c r="J2177" i="38"/>
  <c r="P2176" i="38"/>
  <c r="J2176" i="38"/>
  <c r="P2174" i="38"/>
  <c r="J2174" i="38"/>
  <c r="P2173" i="38"/>
  <c r="J2173" i="38"/>
  <c r="P2172" i="38"/>
  <c r="J2172" i="38"/>
  <c r="P2170" i="38"/>
  <c r="J2170" i="38"/>
  <c r="P2169" i="38"/>
  <c r="J2169" i="38"/>
  <c r="P2168" i="38"/>
  <c r="J2168" i="38"/>
  <c r="P2167" i="38"/>
  <c r="J2167" i="38"/>
  <c r="P2165" i="38"/>
  <c r="J2165" i="38"/>
  <c r="P2164" i="38"/>
  <c r="J2164" i="38"/>
  <c r="P2163" i="38"/>
  <c r="J2163" i="38"/>
  <c r="P2162" i="38"/>
  <c r="J2162" i="38"/>
  <c r="P2160" i="38"/>
  <c r="J2160" i="38"/>
  <c r="P2159" i="38"/>
  <c r="J2159" i="38"/>
  <c r="P2158" i="38"/>
  <c r="J2158" i="38"/>
  <c r="P2157" i="38"/>
  <c r="J2157" i="38"/>
  <c r="P2156" i="38"/>
  <c r="J2156" i="38"/>
  <c r="P2155" i="38"/>
  <c r="J2155" i="38"/>
  <c r="P2153" i="38"/>
  <c r="J2153" i="38"/>
  <c r="P2152" i="38"/>
  <c r="J2152" i="38"/>
  <c r="P2151" i="38"/>
  <c r="J2151" i="38"/>
  <c r="P2150" i="38"/>
  <c r="J2150" i="38"/>
  <c r="P2149" i="38"/>
  <c r="J2149" i="38"/>
  <c r="P2147" i="38"/>
  <c r="J2147" i="38"/>
  <c r="P2146" i="38"/>
  <c r="J2146" i="38"/>
  <c r="P2145" i="38"/>
  <c r="J2145" i="38"/>
  <c r="P2144" i="38"/>
  <c r="J2144" i="38"/>
  <c r="P2143" i="38"/>
  <c r="J2143" i="38"/>
  <c r="P2140" i="38"/>
  <c r="J2140" i="38"/>
  <c r="P2139" i="38"/>
  <c r="J2139" i="38"/>
  <c r="P2137" i="38"/>
  <c r="J2137" i="38"/>
  <c r="P2136" i="38"/>
  <c r="J2136" i="38"/>
  <c r="P2135" i="38"/>
  <c r="J2135" i="38"/>
  <c r="P2133" i="38"/>
  <c r="J2133" i="38"/>
  <c r="P2132" i="38"/>
  <c r="J2132" i="38"/>
  <c r="P2131" i="38"/>
  <c r="J2131" i="38"/>
  <c r="P2130" i="38"/>
  <c r="J2130" i="38"/>
  <c r="P2129" i="38"/>
  <c r="J2129" i="38"/>
  <c r="P2128" i="38"/>
  <c r="J2128" i="38"/>
  <c r="P2127" i="38"/>
  <c r="J2127" i="38"/>
  <c r="P2126" i="38"/>
  <c r="J2126" i="38"/>
  <c r="P2123" i="38"/>
  <c r="J2123" i="38"/>
  <c r="P2122" i="38"/>
  <c r="J2122" i="38"/>
  <c r="P2121" i="38"/>
  <c r="J2121" i="38"/>
  <c r="P2120" i="38"/>
  <c r="J2120" i="38"/>
  <c r="P2119" i="38"/>
  <c r="J2119" i="38"/>
  <c r="P2118" i="38"/>
  <c r="J2118" i="38"/>
  <c r="P2117" i="38"/>
  <c r="J2117" i="38"/>
  <c r="P2116" i="38"/>
  <c r="J2116" i="38"/>
  <c r="P2115" i="38"/>
  <c r="J2115" i="38"/>
  <c r="P2109" i="38"/>
  <c r="J2109" i="38"/>
  <c r="P2108" i="38"/>
  <c r="J2108" i="38"/>
  <c r="P2107" i="38"/>
  <c r="J2107" i="38"/>
  <c r="P2106" i="38"/>
  <c r="J2106" i="38"/>
  <c r="P2105" i="38"/>
  <c r="J2105" i="38"/>
  <c r="P2104" i="38"/>
  <c r="J2104" i="38"/>
  <c r="P2103" i="38"/>
  <c r="J2103" i="38"/>
  <c r="P2102" i="38"/>
  <c r="J2102" i="38"/>
  <c r="P2101" i="38"/>
  <c r="J2101" i="38"/>
  <c r="P2099" i="38"/>
  <c r="J2099" i="38"/>
  <c r="P2098" i="38"/>
  <c r="J2098" i="38"/>
  <c r="P2097" i="38"/>
  <c r="J2097" i="38"/>
  <c r="P2095" i="38"/>
  <c r="J2095" i="38"/>
  <c r="P2094" i="38"/>
  <c r="J2094" i="38"/>
  <c r="P2092" i="38"/>
  <c r="J2092" i="38"/>
  <c r="P2091" i="38"/>
  <c r="J2091" i="38"/>
  <c r="P2090" i="38"/>
  <c r="J2090" i="38"/>
  <c r="P2089" i="38"/>
  <c r="J2089" i="38"/>
  <c r="P2087" i="38"/>
  <c r="J2087" i="38"/>
  <c r="P2086" i="38"/>
  <c r="J2086" i="38"/>
  <c r="P2085" i="38"/>
  <c r="J2085" i="38"/>
  <c r="P2083" i="38"/>
  <c r="J2083" i="38"/>
  <c r="P2082" i="38"/>
  <c r="J2082" i="38"/>
  <c r="P2080" i="38"/>
  <c r="J2080" i="38"/>
  <c r="P2079" i="38"/>
  <c r="J2079" i="38"/>
  <c r="P2078" i="38"/>
  <c r="J2078" i="38"/>
  <c r="P2076" i="38"/>
  <c r="J2076" i="38"/>
  <c r="P2075" i="38"/>
  <c r="J2075" i="38"/>
  <c r="P2074" i="38"/>
  <c r="J2074" i="38"/>
  <c r="P2073" i="38"/>
  <c r="J2073" i="38"/>
  <c r="P2072" i="38"/>
  <c r="J2072" i="38"/>
  <c r="P2071" i="38"/>
  <c r="J2071" i="38"/>
  <c r="P2070" i="38"/>
  <c r="J2070" i="38"/>
  <c r="P2067" i="38"/>
  <c r="J2067" i="38"/>
  <c r="P2066" i="38"/>
  <c r="J2066" i="38"/>
  <c r="P2065" i="38"/>
  <c r="J2065" i="38"/>
  <c r="P2064" i="38"/>
  <c r="J2064" i="38"/>
  <c r="P2063" i="38"/>
  <c r="J2063" i="38"/>
  <c r="P2062" i="38"/>
  <c r="J2062" i="38"/>
  <c r="P2061" i="38"/>
  <c r="J2061" i="38"/>
  <c r="P2060" i="38"/>
  <c r="J2060" i="38"/>
  <c r="P2059" i="38"/>
  <c r="J2059" i="38"/>
  <c r="P2057" i="38"/>
  <c r="J2057" i="38"/>
  <c r="P2056" i="38"/>
  <c r="J2056" i="38"/>
  <c r="P2055" i="38"/>
  <c r="J2055" i="38"/>
  <c r="P2053" i="38"/>
  <c r="J2053" i="38"/>
  <c r="P2052" i="38"/>
  <c r="J2052" i="38"/>
  <c r="P2050" i="38"/>
  <c r="J2050" i="38"/>
  <c r="P2049" i="38"/>
  <c r="J2049" i="38"/>
  <c r="P2048" i="38"/>
  <c r="J2048" i="38"/>
  <c r="P2047" i="38"/>
  <c r="J2047" i="38"/>
  <c r="P2045" i="38"/>
  <c r="J2045" i="38"/>
  <c r="P2044" i="38"/>
  <c r="J2044" i="38"/>
  <c r="P2043" i="38"/>
  <c r="J2043" i="38"/>
  <c r="P2042" i="38"/>
  <c r="J2042" i="38"/>
  <c r="P2040" i="38"/>
  <c r="J2040" i="38"/>
  <c r="P2039" i="38"/>
  <c r="J2039" i="38"/>
  <c r="P2037" i="38"/>
  <c r="J2037" i="38"/>
  <c r="P2036" i="38"/>
  <c r="J2036" i="38"/>
  <c r="P2035" i="38"/>
  <c r="J2035" i="38"/>
  <c r="P2033" i="38"/>
  <c r="J2033" i="38"/>
  <c r="P2032" i="38"/>
  <c r="J2032" i="38"/>
  <c r="P2031" i="38"/>
  <c r="J2031" i="38"/>
  <c r="P2030" i="38"/>
  <c r="J2030" i="38"/>
  <c r="P2029" i="38"/>
  <c r="J2029" i="38"/>
  <c r="P2028" i="38"/>
  <c r="J2028" i="38"/>
  <c r="P2027" i="38"/>
  <c r="J2027" i="38"/>
  <c r="P2024" i="38"/>
  <c r="J2024" i="38"/>
  <c r="P2023" i="38"/>
  <c r="J2023" i="38"/>
  <c r="P2021" i="38"/>
  <c r="J2021" i="38"/>
  <c r="P2020" i="38"/>
  <c r="J2020" i="38"/>
  <c r="P2019" i="38"/>
  <c r="J2019" i="38"/>
  <c r="P2018" i="38"/>
  <c r="J2018" i="38"/>
  <c r="P2016" i="38"/>
  <c r="J2016" i="38"/>
  <c r="P2015" i="38"/>
  <c r="J2015" i="38"/>
  <c r="P2014" i="38"/>
  <c r="J2014" i="38"/>
  <c r="P2013" i="38"/>
  <c r="J2013" i="38"/>
  <c r="P2011" i="38"/>
  <c r="J2011" i="38"/>
  <c r="P2010" i="38"/>
  <c r="J2010" i="38"/>
  <c r="P2008" i="38"/>
  <c r="J2008" i="38"/>
  <c r="P2007" i="38"/>
  <c r="J2007" i="38"/>
  <c r="P2006" i="38"/>
  <c r="J2006" i="38"/>
  <c r="P2004" i="38"/>
  <c r="J2004" i="38"/>
  <c r="P2003" i="38"/>
  <c r="J2003" i="38"/>
  <c r="P2002" i="38"/>
  <c r="J2002" i="38"/>
  <c r="P2001" i="38"/>
  <c r="J2001" i="38"/>
  <c r="P2000" i="38"/>
  <c r="J2000" i="38"/>
  <c r="P1999" i="38"/>
  <c r="J1999" i="38"/>
  <c r="P1998" i="38"/>
  <c r="J1998" i="38"/>
  <c r="P1997" i="38"/>
  <c r="J1997" i="38"/>
  <c r="P1993" i="38"/>
  <c r="J1993" i="38"/>
  <c r="P1992" i="38"/>
  <c r="J1992" i="38"/>
  <c r="P1991" i="38"/>
  <c r="J1991" i="38"/>
  <c r="P1990" i="38"/>
  <c r="J1990" i="38"/>
  <c r="P1989" i="38"/>
  <c r="J1989" i="38"/>
  <c r="P1988" i="38"/>
  <c r="J1988" i="38"/>
  <c r="P1987" i="38"/>
  <c r="J1987" i="38"/>
  <c r="P1986" i="38"/>
  <c r="J1986" i="38"/>
  <c r="P1985" i="38"/>
  <c r="J1985" i="38"/>
  <c r="P1984" i="38"/>
  <c r="J1984" i="38"/>
  <c r="P1982" i="38"/>
  <c r="J1982" i="38"/>
  <c r="P1981" i="38"/>
  <c r="J1981" i="38"/>
  <c r="P1980" i="38"/>
  <c r="J1980" i="38"/>
  <c r="P1978" i="38"/>
  <c r="J1978" i="38"/>
  <c r="P1977" i="38"/>
  <c r="J1977" i="38"/>
  <c r="P1975" i="38"/>
  <c r="J1975" i="38"/>
  <c r="P1974" i="38"/>
  <c r="J1974" i="38"/>
  <c r="P1973" i="38"/>
  <c r="J1973" i="38"/>
  <c r="P1972" i="38"/>
  <c r="J1972" i="38"/>
  <c r="P1970" i="38"/>
  <c r="J1970" i="38"/>
  <c r="P1969" i="38"/>
  <c r="J1969" i="38"/>
  <c r="P1968" i="38"/>
  <c r="J1968" i="38"/>
  <c r="P1966" i="38"/>
  <c r="J1966" i="38"/>
  <c r="P1965" i="38"/>
  <c r="J1965" i="38"/>
  <c r="P1963" i="38"/>
  <c r="J1963" i="38"/>
  <c r="P1962" i="38"/>
  <c r="J1962" i="38"/>
  <c r="P1961" i="38"/>
  <c r="J1961" i="38"/>
  <c r="P1959" i="38"/>
  <c r="J1959" i="38"/>
  <c r="P1958" i="38"/>
  <c r="J1958" i="38"/>
  <c r="P1957" i="38"/>
  <c r="J1957" i="38"/>
  <c r="P1956" i="38"/>
  <c r="J1956" i="38"/>
  <c r="P1955" i="38"/>
  <c r="J1955" i="38"/>
  <c r="P1954" i="38"/>
  <c r="J1954" i="38"/>
  <c r="P1953" i="38"/>
  <c r="J1953" i="38"/>
  <c r="P1950" i="38"/>
  <c r="J1950" i="38"/>
  <c r="P1949" i="38"/>
  <c r="J1949" i="38"/>
  <c r="P1948" i="38"/>
  <c r="J1948" i="38"/>
  <c r="P1947" i="38"/>
  <c r="J1947" i="38"/>
  <c r="P1946" i="38"/>
  <c r="J1946" i="38"/>
  <c r="P1945" i="38"/>
  <c r="J1945" i="38"/>
  <c r="P1944" i="38"/>
  <c r="J1944" i="38"/>
  <c r="P1943" i="38"/>
  <c r="J1943" i="38"/>
  <c r="P1942" i="38"/>
  <c r="J1942" i="38"/>
  <c r="P1941" i="38"/>
  <c r="J1941" i="38"/>
  <c r="P1939" i="38"/>
  <c r="J1939" i="38"/>
  <c r="P1938" i="38"/>
  <c r="J1938" i="38"/>
  <c r="P1937" i="38"/>
  <c r="J1937" i="38"/>
  <c r="P1935" i="38"/>
  <c r="J1935" i="38"/>
  <c r="P1934" i="38"/>
  <c r="J1934" i="38"/>
  <c r="P1932" i="38"/>
  <c r="J1932" i="38"/>
  <c r="P1931" i="38"/>
  <c r="J1931" i="38"/>
  <c r="P1930" i="38"/>
  <c r="J1930" i="38"/>
  <c r="P1929" i="38"/>
  <c r="J1929" i="38"/>
  <c r="P1927" i="38"/>
  <c r="J1927" i="38"/>
  <c r="P1926" i="38"/>
  <c r="J1926" i="38"/>
  <c r="P1925" i="38"/>
  <c r="J1925" i="38"/>
  <c r="P1923" i="38"/>
  <c r="J1923" i="38"/>
  <c r="P1922" i="38"/>
  <c r="J1922" i="38"/>
  <c r="P1920" i="38"/>
  <c r="J1920" i="38"/>
  <c r="P1919" i="38"/>
  <c r="J1919" i="38"/>
  <c r="P1918" i="38"/>
  <c r="J1918" i="38"/>
  <c r="P1916" i="38"/>
  <c r="J1916" i="38"/>
  <c r="P1915" i="38"/>
  <c r="J1915" i="38"/>
  <c r="P1914" i="38"/>
  <c r="J1914" i="38"/>
  <c r="P1913" i="38"/>
  <c r="J1913" i="38"/>
  <c r="P1912" i="38"/>
  <c r="J1912" i="38"/>
  <c r="P1911" i="38"/>
  <c r="J1911" i="38"/>
  <c r="P1910" i="38"/>
  <c r="J1910" i="38"/>
  <c r="P1907" i="38"/>
  <c r="J1907" i="38"/>
  <c r="P1906" i="38"/>
  <c r="J1906" i="38"/>
  <c r="P1905" i="38"/>
  <c r="J1905" i="38"/>
  <c r="P1904" i="38"/>
  <c r="J1904" i="38"/>
  <c r="P1903" i="38"/>
  <c r="J1903" i="38"/>
  <c r="P1902" i="38"/>
  <c r="J1902" i="38"/>
  <c r="P1901" i="38"/>
  <c r="J1901" i="38"/>
  <c r="P1900" i="38"/>
  <c r="J1900" i="38"/>
  <c r="P1899" i="38"/>
  <c r="J1899" i="38"/>
  <c r="P1898" i="38"/>
  <c r="J1898" i="38"/>
  <c r="P1896" i="38"/>
  <c r="J1896" i="38"/>
  <c r="P1895" i="38"/>
  <c r="J1895" i="38"/>
  <c r="P1894" i="38"/>
  <c r="J1894" i="38"/>
  <c r="P1892" i="38"/>
  <c r="J1892" i="38"/>
  <c r="P1891" i="38"/>
  <c r="J1891" i="38"/>
  <c r="P1889" i="38"/>
  <c r="J1889" i="38"/>
  <c r="P1888" i="38"/>
  <c r="J1888" i="38"/>
  <c r="P1887" i="38"/>
  <c r="J1887" i="38"/>
  <c r="P1886" i="38"/>
  <c r="J1886" i="38"/>
  <c r="P1884" i="38"/>
  <c r="J1884" i="38"/>
  <c r="P1883" i="38"/>
  <c r="J1883" i="38"/>
  <c r="P1882" i="38"/>
  <c r="J1882" i="38"/>
  <c r="P1880" i="38"/>
  <c r="J1880" i="38"/>
  <c r="P1879" i="38"/>
  <c r="J1879" i="38"/>
  <c r="P1877" i="38"/>
  <c r="J1877" i="38"/>
  <c r="P1876" i="38"/>
  <c r="J1876" i="38"/>
  <c r="P1875" i="38"/>
  <c r="J1875" i="38"/>
  <c r="P1873" i="38"/>
  <c r="J1873" i="38"/>
  <c r="P1872" i="38"/>
  <c r="J1872" i="38"/>
  <c r="P1871" i="38"/>
  <c r="J1871" i="38"/>
  <c r="P1870" i="38"/>
  <c r="J1870" i="38"/>
  <c r="P1869" i="38"/>
  <c r="J1869" i="38"/>
  <c r="P1868" i="38"/>
  <c r="J1868" i="38"/>
  <c r="P1867" i="38"/>
  <c r="J1867" i="38"/>
  <c r="P1864" i="38"/>
  <c r="J1864" i="38"/>
  <c r="P1863" i="38"/>
  <c r="J1863" i="38"/>
  <c r="P1862" i="38"/>
  <c r="J1862" i="38"/>
  <c r="P1861" i="38"/>
  <c r="J1861" i="38"/>
  <c r="P1860" i="38"/>
  <c r="J1860" i="38"/>
  <c r="P1859" i="38"/>
  <c r="J1859" i="38"/>
  <c r="P1858" i="38"/>
  <c r="J1858" i="38"/>
  <c r="P1857" i="38"/>
  <c r="J1857" i="38"/>
  <c r="P1856" i="38"/>
  <c r="J1856" i="38"/>
  <c r="P1855" i="38"/>
  <c r="J1855" i="38"/>
  <c r="P1853" i="38"/>
  <c r="J1853" i="38"/>
  <c r="P1852" i="38"/>
  <c r="J1852" i="38"/>
  <c r="P1851" i="38"/>
  <c r="J1851" i="38"/>
  <c r="P1849" i="38"/>
  <c r="J1849" i="38"/>
  <c r="P1848" i="38"/>
  <c r="J1848" i="38"/>
  <c r="P1846" i="38"/>
  <c r="J1846" i="38"/>
  <c r="P1845" i="38"/>
  <c r="J1845" i="38"/>
  <c r="P1844" i="38"/>
  <c r="J1844" i="38"/>
  <c r="P1843" i="38"/>
  <c r="J1843" i="38"/>
  <c r="P1841" i="38"/>
  <c r="J1841" i="38"/>
  <c r="P1840" i="38"/>
  <c r="J1840" i="38"/>
  <c r="P1839" i="38"/>
  <c r="J1839" i="38"/>
  <c r="P1837" i="38"/>
  <c r="J1837" i="38"/>
  <c r="P1836" i="38"/>
  <c r="J1836" i="38"/>
  <c r="P1834" i="38"/>
  <c r="J1834" i="38"/>
  <c r="P1833" i="38"/>
  <c r="J1833" i="38"/>
  <c r="P1832" i="38"/>
  <c r="J1832" i="38"/>
  <c r="P1830" i="38"/>
  <c r="J1830" i="38"/>
  <c r="P1829" i="38"/>
  <c r="J1829" i="38"/>
  <c r="P1828" i="38"/>
  <c r="J1828" i="38"/>
  <c r="P1827" i="38"/>
  <c r="J1827" i="38"/>
  <c r="P1826" i="38"/>
  <c r="J1826" i="38"/>
  <c r="P1825" i="38"/>
  <c r="J1825" i="38"/>
  <c r="P1824" i="38"/>
  <c r="J1824" i="38"/>
  <c r="P1819" i="38"/>
  <c r="J1819" i="38"/>
  <c r="P1818" i="38"/>
  <c r="J1818" i="38"/>
  <c r="P1817" i="38"/>
  <c r="J1817" i="38"/>
  <c r="P1816" i="38"/>
  <c r="J1816" i="38"/>
  <c r="P1815" i="38"/>
  <c r="J1815" i="38"/>
  <c r="P1814" i="38"/>
  <c r="J1814" i="38"/>
  <c r="P1813" i="38"/>
  <c r="J1813" i="38"/>
  <c r="P1812" i="38"/>
  <c r="J1812" i="38"/>
  <c r="P1811" i="38"/>
  <c r="J1811" i="38"/>
  <c r="P1810" i="38"/>
  <c r="J1810" i="38"/>
  <c r="P1808" i="38"/>
  <c r="J1808" i="38"/>
  <c r="P1807" i="38"/>
  <c r="J1807" i="38"/>
  <c r="P1806" i="38"/>
  <c r="J1806" i="38"/>
  <c r="P1804" i="38"/>
  <c r="J1804" i="38"/>
  <c r="P1803" i="38"/>
  <c r="J1803" i="38"/>
  <c r="P1801" i="38"/>
  <c r="J1801" i="38"/>
  <c r="P1800" i="38"/>
  <c r="J1800" i="38"/>
  <c r="P1799" i="38"/>
  <c r="J1799" i="38"/>
  <c r="P1798" i="38"/>
  <c r="J1798" i="38"/>
  <c r="P1796" i="38"/>
  <c r="J1796" i="38"/>
  <c r="P1795" i="38"/>
  <c r="J1795" i="38"/>
  <c r="P1794" i="38"/>
  <c r="J1794" i="38"/>
  <c r="P1792" i="38"/>
  <c r="J1792" i="38"/>
  <c r="P1791" i="38"/>
  <c r="J1791" i="38"/>
  <c r="P1789" i="38"/>
  <c r="J1789" i="38"/>
  <c r="P1788" i="38"/>
  <c r="J1788" i="38"/>
  <c r="P1787" i="38"/>
  <c r="J1787" i="38"/>
  <c r="P1785" i="38"/>
  <c r="J1785" i="38"/>
  <c r="P1784" i="38"/>
  <c r="J1784" i="38"/>
  <c r="P1783" i="38"/>
  <c r="J1783" i="38"/>
  <c r="P1782" i="38"/>
  <c r="J1782" i="38"/>
  <c r="P1781" i="38"/>
  <c r="J1781" i="38"/>
  <c r="P1780" i="38"/>
  <c r="J1780" i="38"/>
  <c r="P1779" i="38"/>
  <c r="J1779" i="38"/>
  <c r="P1776" i="38"/>
  <c r="J1776" i="38"/>
  <c r="P1775" i="38"/>
  <c r="J1775" i="38"/>
  <c r="P1774" i="38"/>
  <c r="J1774" i="38"/>
  <c r="P1773" i="38"/>
  <c r="J1773" i="38"/>
  <c r="P1772" i="38"/>
  <c r="J1772" i="38"/>
  <c r="P1771" i="38"/>
  <c r="J1771" i="38"/>
  <c r="P1770" i="38"/>
  <c r="J1770" i="38"/>
  <c r="P1769" i="38"/>
  <c r="J1769" i="38"/>
  <c r="P1768" i="38"/>
  <c r="J1768" i="38"/>
  <c r="P1767" i="38"/>
  <c r="J1767" i="38"/>
  <c r="P1765" i="38"/>
  <c r="J1765" i="38"/>
  <c r="P1764" i="38"/>
  <c r="J1764" i="38"/>
  <c r="P1763" i="38"/>
  <c r="J1763" i="38"/>
  <c r="P1761" i="38"/>
  <c r="J1761" i="38"/>
  <c r="P1760" i="38"/>
  <c r="J1760" i="38"/>
  <c r="P1758" i="38"/>
  <c r="J1758" i="38"/>
  <c r="P1757" i="38"/>
  <c r="J1757" i="38"/>
  <c r="P1756" i="38"/>
  <c r="J1756" i="38"/>
  <c r="P1755" i="38"/>
  <c r="J1755" i="38"/>
  <c r="P1753" i="38"/>
  <c r="J1753" i="38"/>
  <c r="P1752" i="38"/>
  <c r="J1752" i="38"/>
  <c r="P1751" i="38"/>
  <c r="J1751" i="38"/>
  <c r="P1749" i="38"/>
  <c r="J1749" i="38"/>
  <c r="P1748" i="38"/>
  <c r="J1748" i="38"/>
  <c r="P1746" i="38"/>
  <c r="J1746" i="38"/>
  <c r="P1745" i="38"/>
  <c r="J1745" i="38"/>
  <c r="P1744" i="38"/>
  <c r="J1744" i="38"/>
  <c r="P1742" i="38"/>
  <c r="J1742" i="38"/>
  <c r="P1741" i="38"/>
  <c r="J1741" i="38"/>
  <c r="P1740" i="38"/>
  <c r="J1740" i="38"/>
  <c r="P1739" i="38"/>
  <c r="J1739" i="38"/>
  <c r="P1738" i="38"/>
  <c r="J1738" i="38"/>
  <c r="P1737" i="38"/>
  <c r="J1737" i="38"/>
  <c r="P1736" i="38"/>
  <c r="J1736" i="38"/>
  <c r="P1733" i="38"/>
  <c r="J1733" i="38"/>
  <c r="P1732" i="38"/>
  <c r="J1732" i="38"/>
  <c r="P1731" i="38"/>
  <c r="J1731" i="38"/>
  <c r="P1730" i="38"/>
  <c r="J1730" i="38"/>
  <c r="P1729" i="38"/>
  <c r="J1729" i="38"/>
  <c r="P1728" i="38"/>
  <c r="J1728" i="38"/>
  <c r="P1727" i="38"/>
  <c r="J1727" i="38"/>
  <c r="P1726" i="38"/>
  <c r="J1726" i="38"/>
  <c r="P1725" i="38"/>
  <c r="J1725" i="38"/>
  <c r="P1724" i="38"/>
  <c r="J1724" i="38"/>
  <c r="P1722" i="38"/>
  <c r="J1722" i="38"/>
  <c r="P1721" i="38"/>
  <c r="J1721" i="38"/>
  <c r="P1720" i="38"/>
  <c r="J1720" i="38"/>
  <c r="P1718" i="38"/>
  <c r="J1718" i="38"/>
  <c r="P1717" i="38"/>
  <c r="J1717" i="38"/>
  <c r="P1715" i="38"/>
  <c r="J1715" i="38"/>
  <c r="P1714" i="38"/>
  <c r="J1714" i="38"/>
  <c r="P1713" i="38"/>
  <c r="J1713" i="38"/>
  <c r="P1712" i="38"/>
  <c r="J1712" i="38"/>
  <c r="P1710" i="38"/>
  <c r="J1710" i="38"/>
  <c r="P1709" i="38"/>
  <c r="J1709" i="38"/>
  <c r="P1708" i="38"/>
  <c r="J1708" i="38"/>
  <c r="P1706" i="38"/>
  <c r="J1706" i="38"/>
  <c r="P1705" i="38"/>
  <c r="J1705" i="38"/>
  <c r="P1703" i="38"/>
  <c r="J1703" i="38"/>
  <c r="P1702" i="38"/>
  <c r="J1702" i="38"/>
  <c r="P1701" i="38"/>
  <c r="J1701" i="38"/>
  <c r="P1699" i="38"/>
  <c r="J1699" i="38"/>
  <c r="P1698" i="38"/>
  <c r="J1698" i="38"/>
  <c r="P1697" i="38"/>
  <c r="J1697" i="38"/>
  <c r="P1696" i="38"/>
  <c r="J1696" i="38"/>
  <c r="P1695" i="38"/>
  <c r="J1695" i="38"/>
  <c r="P1694" i="38"/>
  <c r="J1694" i="38"/>
  <c r="P1693" i="38"/>
  <c r="J1693" i="38"/>
  <c r="P1689" i="38"/>
  <c r="J1689" i="38"/>
  <c r="P1688" i="38"/>
  <c r="J1688" i="38"/>
  <c r="P1687" i="38"/>
  <c r="J1687" i="38"/>
  <c r="P1686" i="38"/>
  <c r="J1686" i="38"/>
  <c r="P1685" i="38"/>
  <c r="J1685" i="38"/>
  <c r="P1684" i="38"/>
  <c r="J1684" i="38"/>
  <c r="P1683" i="38"/>
  <c r="J1683" i="38"/>
  <c r="P1682" i="38"/>
  <c r="J1682" i="38"/>
  <c r="P1681" i="38"/>
  <c r="J1681" i="38"/>
  <c r="P1679" i="38"/>
  <c r="J1679" i="38"/>
  <c r="P1678" i="38"/>
  <c r="J1678" i="38"/>
  <c r="P1677" i="38"/>
  <c r="J1677" i="38"/>
  <c r="P1675" i="38"/>
  <c r="J1675" i="38"/>
  <c r="P1674" i="38"/>
  <c r="J1674" i="38"/>
  <c r="P1672" i="38"/>
  <c r="J1672" i="38"/>
  <c r="P1671" i="38"/>
  <c r="J1671" i="38"/>
  <c r="P1670" i="38"/>
  <c r="J1670" i="38"/>
  <c r="P1669" i="38"/>
  <c r="J1669" i="38"/>
  <c r="P1667" i="38"/>
  <c r="J1667" i="38"/>
  <c r="P1666" i="38"/>
  <c r="J1666" i="38"/>
  <c r="P1665" i="38"/>
  <c r="J1665" i="38"/>
  <c r="P1664" i="38"/>
  <c r="J1664" i="38"/>
  <c r="P1662" i="38"/>
  <c r="J1662" i="38"/>
  <c r="P1661" i="38"/>
  <c r="J1661" i="38"/>
  <c r="P1659" i="38"/>
  <c r="J1659" i="38"/>
  <c r="P1658" i="38"/>
  <c r="J1658" i="38"/>
  <c r="P1657" i="38"/>
  <c r="J1657" i="38"/>
  <c r="P1655" i="38"/>
  <c r="J1655" i="38"/>
  <c r="P1654" i="38"/>
  <c r="J1654" i="38"/>
  <c r="P1653" i="38"/>
  <c r="J1653" i="38"/>
  <c r="P1652" i="38"/>
  <c r="J1652" i="38"/>
  <c r="P1651" i="38"/>
  <c r="J1651" i="38"/>
  <c r="P1650" i="38"/>
  <c r="J1650" i="38"/>
  <c r="P1647" i="38"/>
  <c r="J1647" i="38"/>
  <c r="P1646" i="38"/>
  <c r="J1646" i="38"/>
  <c r="P1645" i="38"/>
  <c r="J1645" i="38"/>
  <c r="P1644" i="38"/>
  <c r="J1644" i="38"/>
  <c r="P1643" i="38"/>
  <c r="J1643" i="38"/>
  <c r="P1642" i="38"/>
  <c r="J1642" i="38"/>
  <c r="P1641" i="38"/>
  <c r="J1641" i="38"/>
  <c r="P1640" i="38"/>
  <c r="J1640" i="38"/>
  <c r="P1639" i="38"/>
  <c r="J1639" i="38"/>
  <c r="P1637" i="38"/>
  <c r="J1637" i="38"/>
  <c r="P1636" i="38"/>
  <c r="J1636" i="38"/>
  <c r="P1635" i="38"/>
  <c r="J1635" i="38"/>
  <c r="P1633" i="38"/>
  <c r="J1633" i="38"/>
  <c r="P1632" i="38"/>
  <c r="J1632" i="38"/>
  <c r="P1630" i="38"/>
  <c r="J1630" i="38"/>
  <c r="P1629" i="38"/>
  <c r="J1629" i="38"/>
  <c r="P1628" i="38"/>
  <c r="J1628" i="38"/>
  <c r="P1627" i="38"/>
  <c r="J1627" i="38"/>
  <c r="P1625" i="38"/>
  <c r="J1625" i="38"/>
  <c r="P1624" i="38"/>
  <c r="J1624" i="38"/>
  <c r="P1623" i="38"/>
  <c r="J1623" i="38"/>
  <c r="P1621" i="38"/>
  <c r="J1621" i="38"/>
  <c r="P1620" i="38"/>
  <c r="J1620" i="38"/>
  <c r="P1618" i="38"/>
  <c r="J1618" i="38"/>
  <c r="P1617" i="38"/>
  <c r="J1617" i="38"/>
  <c r="P1616" i="38"/>
  <c r="J1616" i="38"/>
  <c r="P1614" i="38"/>
  <c r="J1614" i="38"/>
  <c r="P1613" i="38"/>
  <c r="J1613" i="38"/>
  <c r="P1612" i="38"/>
  <c r="J1612" i="38"/>
  <c r="P1611" i="38"/>
  <c r="J1611" i="38"/>
  <c r="P1610" i="38"/>
  <c r="J1610" i="38"/>
  <c r="P1609" i="38"/>
  <c r="J1609" i="38"/>
  <c r="P1606" i="38"/>
  <c r="J1606" i="38"/>
  <c r="P1605" i="38"/>
  <c r="J1605" i="38"/>
  <c r="P1604" i="38"/>
  <c r="J1604" i="38"/>
  <c r="P1603" i="38"/>
  <c r="J1603" i="38"/>
  <c r="P1602" i="38"/>
  <c r="J1602" i="38"/>
  <c r="P1601" i="38"/>
  <c r="J1601" i="38"/>
  <c r="P1600" i="38"/>
  <c r="J1600" i="38"/>
  <c r="P1599" i="38"/>
  <c r="J1599" i="38"/>
  <c r="P1598" i="38"/>
  <c r="J1598" i="38"/>
  <c r="P1596" i="38"/>
  <c r="J1596" i="38"/>
  <c r="P1595" i="38"/>
  <c r="J1595" i="38"/>
  <c r="P1594" i="38"/>
  <c r="J1594" i="38"/>
  <c r="P1592" i="38"/>
  <c r="J1592" i="38"/>
  <c r="P1591" i="38"/>
  <c r="J1591" i="38"/>
  <c r="P1589" i="38"/>
  <c r="J1589" i="38"/>
  <c r="P1588" i="38"/>
  <c r="J1588" i="38"/>
  <c r="P1587" i="38"/>
  <c r="J1587" i="38"/>
  <c r="P1586" i="38"/>
  <c r="J1586" i="38"/>
  <c r="P1584" i="38"/>
  <c r="J1584" i="38"/>
  <c r="P1583" i="38"/>
  <c r="J1583" i="38"/>
  <c r="P1582" i="38"/>
  <c r="J1582" i="38"/>
  <c r="P1580" i="38"/>
  <c r="J1580" i="38"/>
  <c r="P1579" i="38"/>
  <c r="J1579" i="38"/>
  <c r="P1577" i="38"/>
  <c r="J1577" i="38"/>
  <c r="P1576" i="38"/>
  <c r="J1576" i="38"/>
  <c r="P1575" i="38"/>
  <c r="J1575" i="38"/>
  <c r="P1573" i="38"/>
  <c r="J1573" i="38"/>
  <c r="P1572" i="38"/>
  <c r="J1572" i="38"/>
  <c r="P1571" i="38"/>
  <c r="J1571" i="38"/>
  <c r="P1570" i="38"/>
  <c r="J1570" i="38"/>
  <c r="P1569" i="38"/>
  <c r="J1569" i="38"/>
  <c r="P1568" i="38"/>
  <c r="J1568" i="38"/>
  <c r="P1565" i="38"/>
  <c r="J1565" i="38"/>
  <c r="P1564" i="38"/>
  <c r="J1564" i="38"/>
  <c r="P1563" i="38"/>
  <c r="J1563" i="38"/>
  <c r="P1562" i="38"/>
  <c r="J1562" i="38"/>
  <c r="P1561" i="38"/>
  <c r="J1561" i="38"/>
  <c r="P1560" i="38"/>
  <c r="J1560" i="38"/>
  <c r="P1559" i="38"/>
  <c r="J1559" i="38"/>
  <c r="P1558" i="38"/>
  <c r="J1558" i="38"/>
  <c r="P1557" i="38"/>
  <c r="J1557" i="38"/>
  <c r="P1555" i="38"/>
  <c r="J1555" i="38"/>
  <c r="P1554" i="38"/>
  <c r="J1554" i="38"/>
  <c r="P1553" i="38"/>
  <c r="J1553" i="38"/>
  <c r="P1551" i="38"/>
  <c r="J1551" i="38"/>
  <c r="P1550" i="38"/>
  <c r="J1550" i="38"/>
  <c r="P1548" i="38"/>
  <c r="J1548" i="38"/>
  <c r="P1547" i="38"/>
  <c r="J1547" i="38"/>
  <c r="P1546" i="38"/>
  <c r="J1546" i="38"/>
  <c r="P1545" i="38"/>
  <c r="J1545" i="38"/>
  <c r="P1543" i="38"/>
  <c r="J1543" i="38"/>
  <c r="P1542" i="38"/>
  <c r="J1542" i="38"/>
  <c r="P1541" i="38"/>
  <c r="J1541" i="38"/>
  <c r="P1539" i="38"/>
  <c r="J1539" i="38"/>
  <c r="P1538" i="38"/>
  <c r="J1538" i="38"/>
  <c r="P1536" i="38"/>
  <c r="J1536" i="38"/>
  <c r="P1535" i="38"/>
  <c r="J1535" i="38"/>
  <c r="P1534" i="38"/>
  <c r="J1534" i="38"/>
  <c r="P1532" i="38"/>
  <c r="J1532" i="38"/>
  <c r="P1531" i="38"/>
  <c r="J1531" i="38"/>
  <c r="P1530" i="38"/>
  <c r="J1530" i="38"/>
  <c r="P1529" i="38"/>
  <c r="J1529" i="38"/>
  <c r="P1528" i="38"/>
  <c r="J1528" i="38"/>
  <c r="P1527" i="38"/>
  <c r="J1527" i="38"/>
  <c r="P1524" i="38"/>
  <c r="J1524" i="38"/>
  <c r="P1523" i="38"/>
  <c r="J1523" i="38"/>
  <c r="P1522" i="38"/>
  <c r="J1522" i="38"/>
  <c r="P1521" i="38"/>
  <c r="J1521" i="38"/>
  <c r="P1520" i="38"/>
  <c r="J1520" i="38"/>
  <c r="P1519" i="38"/>
  <c r="J1519" i="38"/>
  <c r="P1518" i="38"/>
  <c r="J1518" i="38"/>
  <c r="P1517" i="38"/>
  <c r="J1517" i="38"/>
  <c r="P1516" i="38"/>
  <c r="J1516" i="38"/>
  <c r="P1514" i="38"/>
  <c r="J1514" i="38"/>
  <c r="P1513" i="38"/>
  <c r="J1513" i="38"/>
  <c r="P1512" i="38"/>
  <c r="J1512" i="38"/>
  <c r="P1510" i="38"/>
  <c r="J1510" i="38"/>
  <c r="P1509" i="38"/>
  <c r="J1509" i="38"/>
  <c r="P1507" i="38"/>
  <c r="J1507" i="38"/>
  <c r="P1506" i="38"/>
  <c r="J1506" i="38"/>
  <c r="P1505" i="38"/>
  <c r="J1505" i="38"/>
  <c r="P1504" i="38"/>
  <c r="J1504" i="38"/>
  <c r="P1502" i="38"/>
  <c r="J1502" i="38"/>
  <c r="P1501" i="38"/>
  <c r="J1501" i="38"/>
  <c r="P1500" i="38"/>
  <c r="J1500" i="38"/>
  <c r="P1498" i="38"/>
  <c r="J1498" i="38"/>
  <c r="P1497" i="38"/>
  <c r="J1497" i="38"/>
  <c r="P1495" i="38"/>
  <c r="J1495" i="38"/>
  <c r="P1494" i="38"/>
  <c r="J1494" i="38"/>
  <c r="P1493" i="38"/>
  <c r="J1493" i="38"/>
  <c r="P1491" i="38"/>
  <c r="J1491" i="38"/>
  <c r="P1490" i="38"/>
  <c r="J1490" i="38"/>
  <c r="P1489" i="38"/>
  <c r="J1489" i="38"/>
  <c r="P1488" i="38"/>
  <c r="J1488" i="38"/>
  <c r="P1487" i="38"/>
  <c r="J1487" i="38"/>
  <c r="P1486" i="38"/>
  <c r="J1486" i="38"/>
  <c r="P1481" i="38"/>
  <c r="J1481" i="38"/>
  <c r="P1480" i="38"/>
  <c r="J1480" i="38"/>
  <c r="P1479" i="38"/>
  <c r="J1479" i="38"/>
  <c r="P1478" i="38"/>
  <c r="J1478" i="38"/>
  <c r="P1477" i="38"/>
  <c r="J1477" i="38"/>
  <c r="P1476" i="38"/>
  <c r="J1476" i="38"/>
  <c r="P1475" i="38"/>
  <c r="J1475" i="38"/>
  <c r="P1474" i="38"/>
  <c r="J1474" i="38"/>
  <c r="P1473" i="38"/>
  <c r="J1473" i="38"/>
  <c r="P1471" i="38"/>
  <c r="J1471" i="38"/>
  <c r="P1470" i="38"/>
  <c r="J1470" i="38"/>
  <c r="P1469" i="38"/>
  <c r="J1469" i="38"/>
  <c r="P1467" i="38"/>
  <c r="J1467" i="38"/>
  <c r="P1466" i="38"/>
  <c r="J1466" i="38"/>
  <c r="P1464" i="38"/>
  <c r="J1464" i="38"/>
  <c r="P1463" i="38"/>
  <c r="J1463" i="38"/>
  <c r="P1462" i="38"/>
  <c r="J1462" i="38"/>
  <c r="P1461" i="38"/>
  <c r="J1461" i="38"/>
  <c r="P1459" i="38"/>
  <c r="J1459" i="38"/>
  <c r="P1458" i="38"/>
  <c r="J1458" i="38"/>
  <c r="P1457" i="38"/>
  <c r="J1457" i="38"/>
  <c r="P1455" i="38"/>
  <c r="J1455" i="38"/>
  <c r="P1454" i="38"/>
  <c r="J1454" i="38"/>
  <c r="P1452" i="38"/>
  <c r="J1452" i="38"/>
  <c r="P1451" i="38"/>
  <c r="J1451" i="38"/>
  <c r="P1450" i="38"/>
  <c r="J1450" i="38"/>
  <c r="P1448" i="38"/>
  <c r="J1448" i="38"/>
  <c r="P1447" i="38"/>
  <c r="J1447" i="38"/>
  <c r="P1446" i="38"/>
  <c r="J1446" i="38"/>
  <c r="P1445" i="38"/>
  <c r="J1445" i="38"/>
  <c r="P1444" i="38"/>
  <c r="J1444" i="38"/>
  <c r="P1443" i="38"/>
  <c r="J1443" i="38"/>
  <c r="P1440" i="38"/>
  <c r="J1440" i="38"/>
  <c r="P1439" i="38"/>
  <c r="J1439" i="38"/>
  <c r="P1438" i="38"/>
  <c r="J1438" i="38"/>
  <c r="P1437" i="38"/>
  <c r="J1437" i="38"/>
  <c r="P1436" i="38"/>
  <c r="J1436" i="38"/>
  <c r="P1435" i="38"/>
  <c r="J1435" i="38"/>
  <c r="P1434" i="38"/>
  <c r="J1434" i="38"/>
  <c r="P1433" i="38"/>
  <c r="J1433" i="38"/>
  <c r="P1432" i="38"/>
  <c r="J1432" i="38"/>
  <c r="P1430" i="38"/>
  <c r="J1430" i="38"/>
  <c r="P1429" i="38"/>
  <c r="J1429" i="38"/>
  <c r="P1428" i="38"/>
  <c r="J1428" i="38"/>
  <c r="P1426" i="38"/>
  <c r="J1426" i="38"/>
  <c r="P1425" i="38"/>
  <c r="J1425" i="38"/>
  <c r="P1423" i="38"/>
  <c r="J1423" i="38"/>
  <c r="P1422" i="38"/>
  <c r="J1422" i="38"/>
  <c r="P1421" i="38"/>
  <c r="J1421" i="38"/>
  <c r="P1420" i="38"/>
  <c r="J1420" i="38"/>
  <c r="P1418" i="38"/>
  <c r="J1418" i="38"/>
  <c r="P1417" i="38"/>
  <c r="J1417" i="38"/>
  <c r="P1416" i="38"/>
  <c r="J1416" i="38"/>
  <c r="P1414" i="38"/>
  <c r="J1414" i="38"/>
  <c r="P1413" i="38"/>
  <c r="J1413" i="38"/>
  <c r="P1411" i="38"/>
  <c r="J1411" i="38"/>
  <c r="P1410" i="38"/>
  <c r="J1410" i="38"/>
  <c r="P1409" i="38"/>
  <c r="J1409" i="38"/>
  <c r="P1407" i="38"/>
  <c r="J1407" i="38"/>
  <c r="P1406" i="38"/>
  <c r="J1406" i="38"/>
  <c r="P1405" i="38"/>
  <c r="J1405" i="38"/>
  <c r="P1404" i="38"/>
  <c r="J1404" i="38"/>
  <c r="P1403" i="38"/>
  <c r="J1403" i="38"/>
  <c r="P1402" i="38"/>
  <c r="J1402" i="38"/>
  <c r="P1399" i="38"/>
  <c r="J1399" i="38"/>
  <c r="P1398" i="38"/>
  <c r="J1398" i="38"/>
  <c r="P1397" i="38"/>
  <c r="J1397" i="38"/>
  <c r="P1396" i="38"/>
  <c r="J1396" i="38"/>
  <c r="P1395" i="38"/>
  <c r="J1395" i="38"/>
  <c r="P1394" i="38"/>
  <c r="J1394" i="38"/>
  <c r="P1393" i="38"/>
  <c r="J1393" i="38"/>
  <c r="P1392" i="38"/>
  <c r="J1392" i="38"/>
  <c r="P1391" i="38"/>
  <c r="J1391" i="38"/>
  <c r="P1389" i="38"/>
  <c r="J1389" i="38"/>
  <c r="P1388" i="38"/>
  <c r="J1388" i="38"/>
  <c r="P1387" i="38"/>
  <c r="J1387" i="38"/>
  <c r="P1385" i="38"/>
  <c r="J1385" i="38"/>
  <c r="P1384" i="38"/>
  <c r="J1384" i="38"/>
  <c r="P1382" i="38"/>
  <c r="J1382" i="38"/>
  <c r="P1381" i="38"/>
  <c r="J1381" i="38"/>
  <c r="P1380" i="38"/>
  <c r="J1380" i="38"/>
  <c r="P1379" i="38"/>
  <c r="J1379" i="38"/>
  <c r="P1377" i="38"/>
  <c r="J1377" i="38"/>
  <c r="P1376" i="38"/>
  <c r="J1376" i="38"/>
  <c r="P1375" i="38"/>
  <c r="J1375" i="38"/>
  <c r="P1373" i="38"/>
  <c r="J1373" i="38"/>
  <c r="P1372" i="38"/>
  <c r="J1372" i="38"/>
  <c r="P1370" i="38"/>
  <c r="J1370" i="38"/>
  <c r="P1369" i="38"/>
  <c r="J1369" i="38"/>
  <c r="P1368" i="38"/>
  <c r="J1368" i="38"/>
  <c r="P1366" i="38"/>
  <c r="J1366" i="38"/>
  <c r="P1365" i="38"/>
  <c r="J1365" i="38"/>
  <c r="P1364" i="38"/>
  <c r="J1364" i="38"/>
  <c r="P1363" i="38"/>
  <c r="J1363" i="38"/>
  <c r="P1362" i="38"/>
  <c r="J1362" i="38"/>
  <c r="P1361" i="38"/>
  <c r="J1361" i="38"/>
  <c r="P1354" i="38"/>
  <c r="J1354" i="38"/>
  <c r="P1353" i="38"/>
  <c r="J1353" i="38"/>
  <c r="P1352" i="38"/>
  <c r="J1352" i="38"/>
  <c r="P1351" i="38"/>
  <c r="J1351" i="38"/>
  <c r="P1350" i="38"/>
  <c r="J1350" i="38"/>
  <c r="P1349" i="38"/>
  <c r="J1349" i="38"/>
  <c r="P1348" i="38"/>
  <c r="J1348" i="38"/>
  <c r="P1347" i="38"/>
  <c r="J1347" i="38"/>
  <c r="P1346" i="38"/>
  <c r="J1346" i="38"/>
  <c r="P1344" i="38"/>
  <c r="J1344" i="38"/>
  <c r="P1343" i="38"/>
  <c r="J1343" i="38"/>
  <c r="P1342" i="38"/>
  <c r="J1342" i="38"/>
  <c r="P1340" i="38"/>
  <c r="J1340" i="38"/>
  <c r="P1339" i="38"/>
  <c r="J1339" i="38"/>
  <c r="P1337" i="38"/>
  <c r="J1337" i="38"/>
  <c r="P1336" i="38"/>
  <c r="J1336" i="38"/>
  <c r="P1335" i="38"/>
  <c r="J1335" i="38"/>
  <c r="P1334" i="38"/>
  <c r="J1334" i="38"/>
  <c r="P1332" i="38"/>
  <c r="J1332" i="38"/>
  <c r="P1331" i="38"/>
  <c r="J1331" i="38"/>
  <c r="P1330" i="38"/>
  <c r="J1330" i="38"/>
  <c r="P1328" i="38"/>
  <c r="J1328" i="38"/>
  <c r="P1327" i="38"/>
  <c r="J1327" i="38"/>
  <c r="P1325" i="38"/>
  <c r="J1325" i="38"/>
  <c r="P1324" i="38"/>
  <c r="J1324" i="38"/>
  <c r="P1323" i="38"/>
  <c r="J1323" i="38"/>
  <c r="P1321" i="38"/>
  <c r="J1321" i="38"/>
  <c r="P1320" i="38"/>
  <c r="J1320" i="38"/>
  <c r="P1319" i="38"/>
  <c r="J1319" i="38"/>
  <c r="P1318" i="38"/>
  <c r="J1318" i="38"/>
  <c r="P1317" i="38"/>
  <c r="J1317" i="38"/>
  <c r="P1316" i="38"/>
  <c r="J1316" i="38"/>
  <c r="P1315" i="38"/>
  <c r="J1315" i="38"/>
  <c r="P1311" i="38"/>
  <c r="J1311" i="38"/>
  <c r="P1310" i="38"/>
  <c r="J1310" i="38"/>
  <c r="P1309" i="38"/>
  <c r="J1309" i="38"/>
  <c r="P1308" i="38"/>
  <c r="J1308" i="38"/>
  <c r="P1307" i="38"/>
  <c r="J1307" i="38"/>
  <c r="P1306" i="38"/>
  <c r="J1306" i="38"/>
  <c r="P1305" i="38"/>
  <c r="J1305" i="38"/>
  <c r="P1304" i="38"/>
  <c r="J1304" i="38"/>
  <c r="P1303" i="38"/>
  <c r="J1303" i="38"/>
  <c r="P1301" i="38"/>
  <c r="J1301" i="38"/>
  <c r="P1300" i="38"/>
  <c r="J1300" i="38"/>
  <c r="P1299" i="38"/>
  <c r="J1299" i="38"/>
  <c r="P1297" i="38"/>
  <c r="J1297" i="38"/>
  <c r="P1296" i="38"/>
  <c r="J1296" i="38"/>
  <c r="P1294" i="38"/>
  <c r="J1294" i="38"/>
  <c r="P1293" i="38"/>
  <c r="J1293" i="38"/>
  <c r="P1292" i="38"/>
  <c r="J1292" i="38"/>
  <c r="P1291" i="38"/>
  <c r="J1291" i="38"/>
  <c r="P1289" i="38"/>
  <c r="J1289" i="38"/>
  <c r="P1288" i="38"/>
  <c r="J1288" i="38"/>
  <c r="P1287" i="38"/>
  <c r="J1287" i="38"/>
  <c r="P1285" i="38"/>
  <c r="J1285" i="38"/>
  <c r="P1284" i="38"/>
  <c r="J1284" i="38"/>
  <c r="P1282" i="38"/>
  <c r="J1282" i="38"/>
  <c r="P1281" i="38"/>
  <c r="J1281" i="38"/>
  <c r="P1280" i="38"/>
  <c r="J1280" i="38"/>
  <c r="P1278" i="38"/>
  <c r="J1278" i="38"/>
  <c r="P1277" i="38"/>
  <c r="J1277" i="38"/>
  <c r="P1276" i="38"/>
  <c r="J1276" i="38"/>
  <c r="P1275" i="38"/>
  <c r="J1275" i="38"/>
  <c r="P1274" i="38"/>
  <c r="J1274" i="38"/>
  <c r="P1273" i="38"/>
  <c r="J1273" i="38"/>
  <c r="P1270" i="38"/>
  <c r="J1270" i="38"/>
  <c r="P1269" i="38"/>
  <c r="J1269" i="38"/>
  <c r="P1268" i="38"/>
  <c r="J1268" i="38"/>
  <c r="P1267" i="38"/>
  <c r="J1267" i="38"/>
  <c r="P1266" i="38"/>
  <c r="J1266" i="38"/>
  <c r="P1265" i="38"/>
  <c r="J1265" i="38"/>
  <c r="P1264" i="38"/>
  <c r="J1264" i="38"/>
  <c r="P1263" i="38"/>
  <c r="J1263" i="38"/>
  <c r="P1262" i="38"/>
  <c r="J1262" i="38"/>
  <c r="P1260" i="38"/>
  <c r="J1260" i="38"/>
  <c r="P1259" i="38"/>
  <c r="J1259" i="38"/>
  <c r="P1258" i="38"/>
  <c r="J1258" i="38"/>
  <c r="P1256" i="38"/>
  <c r="J1256" i="38"/>
  <c r="P1255" i="38"/>
  <c r="J1255" i="38"/>
  <c r="P1253" i="38"/>
  <c r="J1253" i="38"/>
  <c r="P1252" i="38"/>
  <c r="J1252" i="38"/>
  <c r="P1251" i="38"/>
  <c r="J1251" i="38"/>
  <c r="P1250" i="38"/>
  <c r="J1250" i="38"/>
  <c r="P1248" i="38"/>
  <c r="J1248" i="38"/>
  <c r="P1247" i="38"/>
  <c r="J1247" i="38"/>
  <c r="P1246" i="38"/>
  <c r="J1246" i="38"/>
  <c r="P1244" i="38"/>
  <c r="J1244" i="38"/>
  <c r="P1243" i="38"/>
  <c r="J1243" i="38"/>
  <c r="P1241" i="38"/>
  <c r="J1241" i="38"/>
  <c r="P1240" i="38"/>
  <c r="J1240" i="38"/>
  <c r="P1239" i="38"/>
  <c r="J1239" i="38"/>
  <c r="P1237" i="38"/>
  <c r="J1237" i="38"/>
  <c r="P1236" i="38"/>
  <c r="J1236" i="38"/>
  <c r="P1235" i="38"/>
  <c r="J1235" i="38"/>
  <c r="P1234" i="38"/>
  <c r="J1234" i="38"/>
  <c r="P1233" i="38"/>
  <c r="J1233" i="38"/>
  <c r="P1232" i="38"/>
  <c r="J1232" i="38"/>
  <c r="P1231" i="38"/>
  <c r="J1231" i="38"/>
  <c r="P1230" i="38"/>
  <c r="J1230" i="38"/>
  <c r="P1229" i="38"/>
  <c r="J1229" i="38"/>
  <c r="P1225" i="38"/>
  <c r="J1225" i="38"/>
  <c r="P1224" i="38"/>
  <c r="J1224" i="38"/>
  <c r="P1223" i="38"/>
  <c r="J1223" i="38"/>
  <c r="P1222" i="38"/>
  <c r="J1222" i="38"/>
  <c r="P1221" i="38"/>
  <c r="J1221" i="38"/>
  <c r="P1220" i="38"/>
  <c r="J1220" i="38"/>
  <c r="P1219" i="38"/>
  <c r="J1219" i="38"/>
  <c r="P1218" i="38"/>
  <c r="J1218" i="38"/>
  <c r="P1217" i="38"/>
  <c r="J1217" i="38"/>
  <c r="P1215" i="38"/>
  <c r="J1215" i="38"/>
  <c r="P1214" i="38"/>
  <c r="J1214" i="38"/>
  <c r="P1213" i="38"/>
  <c r="J1213" i="38"/>
  <c r="P1211" i="38"/>
  <c r="J1211" i="38"/>
  <c r="P1210" i="38"/>
  <c r="J1210" i="38"/>
  <c r="P1208" i="38"/>
  <c r="J1208" i="38"/>
  <c r="P1207" i="38"/>
  <c r="J1207" i="38"/>
  <c r="P1206" i="38"/>
  <c r="J1206" i="38"/>
  <c r="P1205" i="38"/>
  <c r="J1205" i="38"/>
  <c r="P1203" i="38"/>
  <c r="J1203" i="38"/>
  <c r="P1202" i="38"/>
  <c r="J1202" i="38"/>
  <c r="P1201" i="38"/>
  <c r="J1201" i="38"/>
  <c r="P1199" i="38"/>
  <c r="J1199" i="38"/>
  <c r="P1198" i="38"/>
  <c r="J1198" i="38"/>
  <c r="P1196" i="38"/>
  <c r="J1196" i="38"/>
  <c r="P1195" i="38"/>
  <c r="J1195" i="38"/>
  <c r="P1194" i="38"/>
  <c r="J1194" i="38"/>
  <c r="P1192" i="38"/>
  <c r="J1192" i="38"/>
  <c r="P1191" i="38"/>
  <c r="J1191" i="38"/>
  <c r="P1190" i="38"/>
  <c r="J1190" i="38"/>
  <c r="P1189" i="38"/>
  <c r="J1189" i="38"/>
  <c r="P1188" i="38"/>
  <c r="J1188" i="38"/>
  <c r="P1187" i="38"/>
  <c r="J1187" i="38"/>
  <c r="P1185" i="38"/>
  <c r="J1185" i="38"/>
  <c r="P1184" i="38"/>
  <c r="J1184" i="38"/>
  <c r="P1183" i="38"/>
  <c r="J1183" i="38"/>
  <c r="P1180" i="38"/>
  <c r="J1180" i="38"/>
  <c r="P1179" i="38"/>
  <c r="J1179" i="38"/>
  <c r="P1178" i="38"/>
  <c r="J1178" i="38"/>
  <c r="P1177" i="38"/>
  <c r="J1177" i="38"/>
  <c r="P1176" i="38"/>
  <c r="J1176" i="38"/>
  <c r="P1175" i="38"/>
  <c r="J1175" i="38"/>
  <c r="P1174" i="38"/>
  <c r="J1174" i="38"/>
  <c r="P1173" i="38"/>
  <c r="J1173" i="38"/>
  <c r="P1172" i="38"/>
  <c r="J1172" i="38"/>
  <c r="P1170" i="38"/>
  <c r="J1170" i="38"/>
  <c r="P1169" i="38"/>
  <c r="J1169" i="38"/>
  <c r="P1168" i="38"/>
  <c r="J1168" i="38"/>
  <c r="P1166" i="38"/>
  <c r="J1166" i="38"/>
  <c r="P1165" i="38"/>
  <c r="J1165" i="38"/>
  <c r="P1163" i="38"/>
  <c r="J1163" i="38"/>
  <c r="P1162" i="38"/>
  <c r="J1162" i="38"/>
  <c r="P1161" i="38"/>
  <c r="J1161" i="38"/>
  <c r="P1160" i="38"/>
  <c r="J1160" i="38"/>
  <c r="P1158" i="38"/>
  <c r="J1158" i="38"/>
  <c r="P1157" i="38"/>
  <c r="J1157" i="38"/>
  <c r="P1156" i="38"/>
  <c r="J1156" i="38"/>
  <c r="P1154" i="38"/>
  <c r="J1154" i="38"/>
  <c r="P1153" i="38"/>
  <c r="J1153" i="38"/>
  <c r="P1151" i="38"/>
  <c r="J1151" i="38"/>
  <c r="P1150" i="38"/>
  <c r="J1150" i="38"/>
  <c r="P1149" i="38"/>
  <c r="J1149" i="38"/>
  <c r="P1147" i="38"/>
  <c r="J1147" i="38"/>
  <c r="P1146" i="38"/>
  <c r="J1146" i="38"/>
  <c r="P1145" i="38"/>
  <c r="J1145" i="38"/>
  <c r="P1144" i="38"/>
  <c r="J1144" i="38"/>
  <c r="P1143" i="38"/>
  <c r="J1143" i="38"/>
  <c r="P1142" i="38"/>
  <c r="J1142" i="38"/>
  <c r="P1141" i="38"/>
  <c r="J1141" i="38"/>
  <c r="P1140" i="38"/>
  <c r="J1140" i="38"/>
  <c r="P1137" i="38"/>
  <c r="J1137" i="38"/>
  <c r="P1136" i="38"/>
  <c r="J1136" i="38"/>
  <c r="P1135" i="38"/>
  <c r="J1135" i="38"/>
  <c r="P1134" i="38"/>
  <c r="J1134" i="38"/>
  <c r="P1133" i="38"/>
  <c r="J1133" i="38"/>
  <c r="P1132" i="38"/>
  <c r="J1132" i="38"/>
  <c r="P1131" i="38"/>
  <c r="J1131" i="38"/>
  <c r="P1130" i="38"/>
  <c r="J1130" i="38"/>
  <c r="P1129" i="38"/>
  <c r="J1129" i="38"/>
  <c r="P1127" i="38"/>
  <c r="J1127" i="38"/>
  <c r="P1126" i="38"/>
  <c r="J1126" i="38"/>
  <c r="P1125" i="38"/>
  <c r="J1125" i="38"/>
  <c r="P1123" i="38"/>
  <c r="J1123" i="38"/>
  <c r="P1122" i="38"/>
  <c r="J1122" i="38"/>
  <c r="P1120" i="38"/>
  <c r="J1120" i="38"/>
  <c r="P1119" i="38"/>
  <c r="J1119" i="38"/>
  <c r="P1118" i="38"/>
  <c r="J1118" i="38"/>
  <c r="P1117" i="38"/>
  <c r="J1117" i="38"/>
  <c r="P1115" i="38"/>
  <c r="J1115" i="38"/>
  <c r="P1114" i="38"/>
  <c r="J1114" i="38"/>
  <c r="P1113" i="38"/>
  <c r="J1113" i="38"/>
  <c r="P1111" i="38"/>
  <c r="J1111" i="38"/>
  <c r="P1110" i="38"/>
  <c r="J1110" i="38"/>
  <c r="P1109" i="38"/>
  <c r="J1109" i="38"/>
  <c r="P1107" i="38"/>
  <c r="J1107" i="38"/>
  <c r="P1106" i="38"/>
  <c r="J1106" i="38"/>
  <c r="P1105" i="38"/>
  <c r="J1105" i="38"/>
  <c r="P1103" i="38"/>
  <c r="J1103" i="38"/>
  <c r="P1102" i="38"/>
  <c r="J1102" i="38"/>
  <c r="P1101" i="38"/>
  <c r="J1101" i="38"/>
  <c r="P1100" i="38"/>
  <c r="J1100" i="38"/>
  <c r="P1099" i="38"/>
  <c r="J1099" i="38"/>
  <c r="P1098" i="38"/>
  <c r="J1098" i="38"/>
  <c r="P1096" i="38"/>
  <c r="J1096" i="38"/>
  <c r="P1095" i="38"/>
  <c r="J1095" i="38"/>
  <c r="P1094" i="38"/>
  <c r="J1094" i="38"/>
  <c r="P1091" i="38"/>
  <c r="J1091" i="38"/>
  <c r="P1090" i="38"/>
  <c r="J1090" i="38"/>
  <c r="P1089" i="38"/>
  <c r="J1089" i="38"/>
  <c r="P1088" i="38"/>
  <c r="J1088" i="38"/>
  <c r="P1087" i="38"/>
  <c r="J1087" i="38"/>
  <c r="P1086" i="38"/>
  <c r="J1086" i="38"/>
  <c r="P1085" i="38"/>
  <c r="J1085" i="38"/>
  <c r="P1084" i="38"/>
  <c r="J1084" i="38"/>
  <c r="P1083" i="38"/>
  <c r="J1083" i="38"/>
  <c r="P1081" i="38"/>
  <c r="J1081" i="38"/>
  <c r="P1080" i="38"/>
  <c r="J1080" i="38"/>
  <c r="P1079" i="38"/>
  <c r="J1079" i="38"/>
  <c r="P1077" i="38"/>
  <c r="J1077" i="38"/>
  <c r="P1076" i="38"/>
  <c r="J1076" i="38"/>
  <c r="P1074" i="38"/>
  <c r="J1074" i="38"/>
  <c r="P1073" i="38"/>
  <c r="J1073" i="38"/>
  <c r="P1072" i="38"/>
  <c r="J1072" i="38"/>
  <c r="P1071" i="38"/>
  <c r="J1071" i="38"/>
  <c r="P1069" i="38"/>
  <c r="J1069" i="38"/>
  <c r="P1068" i="38"/>
  <c r="J1068" i="38"/>
  <c r="P1067" i="38"/>
  <c r="J1067" i="38"/>
  <c r="P1065" i="38"/>
  <c r="J1065" i="38"/>
  <c r="P1064" i="38"/>
  <c r="J1064" i="38"/>
  <c r="P1062" i="38"/>
  <c r="J1062" i="38"/>
  <c r="P1061" i="38"/>
  <c r="J1061" i="38"/>
  <c r="P1060" i="38"/>
  <c r="J1060" i="38"/>
  <c r="P1058" i="38"/>
  <c r="J1058" i="38"/>
  <c r="P1057" i="38"/>
  <c r="J1057" i="38"/>
  <c r="P1056" i="38"/>
  <c r="J1056" i="38"/>
  <c r="P1055" i="38"/>
  <c r="J1055" i="38"/>
  <c r="P1054" i="38"/>
  <c r="J1054" i="38"/>
  <c r="P1053" i="38"/>
  <c r="J1053" i="38"/>
  <c r="P1050" i="38"/>
  <c r="J1050" i="38"/>
  <c r="P1049" i="38"/>
  <c r="J1049" i="38"/>
  <c r="P1048" i="38"/>
  <c r="J1048" i="38"/>
  <c r="P1047" i="38"/>
  <c r="J1047" i="38"/>
  <c r="P1046" i="38"/>
  <c r="J1046" i="38"/>
  <c r="P1045" i="38"/>
  <c r="J1045" i="38"/>
  <c r="P1044" i="38"/>
  <c r="J1044" i="38"/>
  <c r="P1043" i="38"/>
  <c r="J1043" i="38"/>
  <c r="P1042" i="38"/>
  <c r="J1042" i="38"/>
  <c r="P1040" i="38"/>
  <c r="J1040" i="38"/>
  <c r="P1039" i="38"/>
  <c r="J1039" i="38"/>
  <c r="P1038" i="38"/>
  <c r="J1038" i="38"/>
  <c r="P1036" i="38"/>
  <c r="J1036" i="38"/>
  <c r="P1035" i="38"/>
  <c r="J1035" i="38"/>
  <c r="P1033" i="38"/>
  <c r="J1033" i="38"/>
  <c r="P1032" i="38"/>
  <c r="J1032" i="38"/>
  <c r="P1031" i="38"/>
  <c r="J1031" i="38"/>
  <c r="P1030" i="38"/>
  <c r="J1030" i="38"/>
  <c r="P1028" i="38"/>
  <c r="J1028" i="38"/>
  <c r="P1027" i="38"/>
  <c r="J1027" i="38"/>
  <c r="P1026" i="38"/>
  <c r="J1026" i="38"/>
  <c r="P1024" i="38"/>
  <c r="J1024" i="38"/>
  <c r="P1023" i="38"/>
  <c r="J1023" i="38"/>
  <c r="P1021" i="38"/>
  <c r="J1021" i="38"/>
  <c r="P1020" i="38"/>
  <c r="J1020" i="38"/>
  <c r="P1019" i="38"/>
  <c r="J1019" i="38"/>
  <c r="P1017" i="38"/>
  <c r="J1017" i="38"/>
  <c r="P1016" i="38"/>
  <c r="J1016" i="38"/>
  <c r="P1015" i="38"/>
  <c r="J1015" i="38"/>
  <c r="P1014" i="38"/>
  <c r="J1014" i="38"/>
  <c r="P1013" i="38"/>
  <c r="J1013" i="38"/>
  <c r="P1012" i="38"/>
  <c r="J1012" i="38"/>
  <c r="P1002" i="38"/>
  <c r="J1002" i="38"/>
  <c r="P1001" i="38"/>
  <c r="J1001" i="38"/>
  <c r="P1000" i="38"/>
  <c r="J1000" i="38"/>
  <c r="P999" i="38"/>
  <c r="J999" i="38"/>
  <c r="P998" i="38"/>
  <c r="J998" i="38"/>
  <c r="P997" i="38"/>
  <c r="J997" i="38"/>
  <c r="P996" i="38"/>
  <c r="J996" i="38"/>
  <c r="P995" i="38"/>
  <c r="J995" i="38"/>
  <c r="P994" i="38"/>
  <c r="J994" i="38"/>
  <c r="P992" i="38"/>
  <c r="J992" i="38"/>
  <c r="P991" i="38"/>
  <c r="J991" i="38"/>
  <c r="P990" i="38"/>
  <c r="J990" i="38"/>
  <c r="P988" i="38"/>
  <c r="J988" i="38"/>
  <c r="P987" i="38"/>
  <c r="J987" i="38"/>
  <c r="P985" i="38"/>
  <c r="J985" i="38"/>
  <c r="P984" i="38"/>
  <c r="J984" i="38"/>
  <c r="P983" i="38"/>
  <c r="J983" i="38"/>
  <c r="P982" i="38"/>
  <c r="J982" i="38"/>
  <c r="P980" i="38"/>
  <c r="J980" i="38"/>
  <c r="P979" i="38"/>
  <c r="J979" i="38"/>
  <c r="P978" i="38"/>
  <c r="J978" i="38"/>
  <c r="P977" i="38"/>
  <c r="J977" i="38"/>
  <c r="P975" i="38"/>
  <c r="J975" i="38"/>
  <c r="P974" i="38"/>
  <c r="J974" i="38"/>
  <c r="P973" i="38"/>
  <c r="J973" i="38"/>
  <c r="P972" i="38"/>
  <c r="J972" i="38"/>
  <c r="P971" i="38"/>
  <c r="J971" i="38"/>
  <c r="P968" i="38"/>
  <c r="J968" i="38"/>
  <c r="P967" i="38"/>
  <c r="J967" i="38"/>
  <c r="P966" i="38"/>
  <c r="J966" i="38"/>
  <c r="P964" i="38"/>
  <c r="J964" i="38"/>
  <c r="P963" i="38"/>
  <c r="J963" i="38"/>
  <c r="P962" i="38"/>
  <c r="J962" i="38"/>
  <c r="P961" i="38"/>
  <c r="J961" i="38"/>
  <c r="P960" i="38"/>
  <c r="J960" i="38"/>
  <c r="P959" i="38"/>
  <c r="J959" i="38"/>
  <c r="P958" i="38"/>
  <c r="J958" i="38"/>
  <c r="P953" i="38"/>
  <c r="J953" i="38"/>
  <c r="P952" i="38"/>
  <c r="J952" i="38"/>
  <c r="P951" i="38"/>
  <c r="J951" i="38"/>
  <c r="P950" i="38"/>
  <c r="J950" i="38"/>
  <c r="P949" i="38"/>
  <c r="J949" i="38"/>
  <c r="P948" i="38"/>
  <c r="J948" i="38"/>
  <c r="P947" i="38"/>
  <c r="J947" i="38"/>
  <c r="P946" i="38"/>
  <c r="J946" i="38"/>
  <c r="P945" i="38"/>
  <c r="J945" i="38"/>
  <c r="P943" i="38"/>
  <c r="J943" i="38"/>
  <c r="P942" i="38"/>
  <c r="J942" i="38"/>
  <c r="P941" i="38"/>
  <c r="J941" i="38"/>
  <c r="P939" i="38"/>
  <c r="J939" i="38"/>
  <c r="P938" i="38"/>
  <c r="J938" i="38"/>
  <c r="P936" i="38"/>
  <c r="J936" i="38"/>
  <c r="P935" i="38"/>
  <c r="J935" i="38"/>
  <c r="P934" i="38"/>
  <c r="J934" i="38"/>
  <c r="P933" i="38"/>
  <c r="J933" i="38"/>
  <c r="P931" i="38"/>
  <c r="J931" i="38"/>
  <c r="P930" i="38"/>
  <c r="J930" i="38"/>
  <c r="P929" i="38"/>
  <c r="J929" i="38"/>
  <c r="P928" i="38"/>
  <c r="J928" i="38"/>
  <c r="P926" i="38"/>
  <c r="J926" i="38"/>
  <c r="P925" i="38"/>
  <c r="J925" i="38"/>
  <c r="P924" i="38"/>
  <c r="J924" i="38"/>
  <c r="P923" i="38"/>
  <c r="J923" i="38"/>
  <c r="P922" i="38"/>
  <c r="J922" i="38"/>
  <c r="P919" i="38"/>
  <c r="J919" i="38"/>
  <c r="P918" i="38"/>
  <c r="J918" i="38"/>
  <c r="P917" i="38"/>
  <c r="J917" i="38"/>
  <c r="P915" i="38"/>
  <c r="J915" i="38"/>
  <c r="P914" i="38"/>
  <c r="J914" i="38"/>
  <c r="P913" i="38"/>
  <c r="J913" i="38"/>
  <c r="P912" i="38"/>
  <c r="J912" i="38"/>
  <c r="P911" i="38"/>
  <c r="J911" i="38"/>
  <c r="P910" i="38"/>
  <c r="J910" i="38"/>
  <c r="P909" i="38"/>
  <c r="J909" i="38"/>
  <c r="P906" i="38"/>
  <c r="J906" i="38"/>
  <c r="P905" i="38"/>
  <c r="J905" i="38"/>
  <c r="P904" i="38"/>
  <c r="J904" i="38"/>
  <c r="P903" i="38"/>
  <c r="J903" i="38"/>
  <c r="P902" i="38"/>
  <c r="J902" i="38"/>
  <c r="P901" i="38"/>
  <c r="J901" i="38"/>
  <c r="P900" i="38"/>
  <c r="J900" i="38"/>
  <c r="P899" i="38"/>
  <c r="J899" i="38"/>
  <c r="P898" i="38"/>
  <c r="J898" i="38"/>
  <c r="P896" i="38"/>
  <c r="J896" i="38"/>
  <c r="P895" i="38"/>
  <c r="J895" i="38"/>
  <c r="P894" i="38"/>
  <c r="J894" i="38"/>
  <c r="P892" i="38"/>
  <c r="J892" i="38"/>
  <c r="P891" i="38"/>
  <c r="J891" i="38"/>
  <c r="P889" i="38"/>
  <c r="J889" i="38"/>
  <c r="P888" i="38"/>
  <c r="J888" i="38"/>
  <c r="P887" i="38"/>
  <c r="J887" i="38"/>
  <c r="P886" i="38"/>
  <c r="J886" i="38"/>
  <c r="P884" i="38"/>
  <c r="J884" i="38"/>
  <c r="P883" i="38"/>
  <c r="J883" i="38"/>
  <c r="P882" i="38"/>
  <c r="J882" i="38"/>
  <c r="P881" i="38"/>
  <c r="J881" i="38"/>
  <c r="P879" i="38"/>
  <c r="J879" i="38"/>
  <c r="P878" i="38"/>
  <c r="J878" i="38"/>
  <c r="P877" i="38"/>
  <c r="J877" i="38"/>
  <c r="P876" i="38"/>
  <c r="J876" i="38"/>
  <c r="P875" i="38"/>
  <c r="J875" i="38"/>
  <c r="P872" i="38"/>
  <c r="J872" i="38"/>
  <c r="P871" i="38"/>
  <c r="J871" i="38"/>
  <c r="P870" i="38"/>
  <c r="J870" i="38"/>
  <c r="P868" i="38"/>
  <c r="J868" i="38"/>
  <c r="P867" i="38"/>
  <c r="J867" i="38"/>
  <c r="P866" i="38"/>
  <c r="J866" i="38"/>
  <c r="P865" i="38"/>
  <c r="J865" i="38"/>
  <c r="P864" i="38"/>
  <c r="J864" i="38"/>
  <c r="P863" i="38"/>
  <c r="J863" i="38"/>
  <c r="P862" i="38"/>
  <c r="J862" i="38"/>
  <c r="P858" i="38"/>
  <c r="J858" i="38"/>
  <c r="P857" i="38"/>
  <c r="J857" i="38"/>
  <c r="P856" i="38"/>
  <c r="J856" i="38"/>
  <c r="P855" i="38"/>
  <c r="J855" i="38"/>
  <c r="P854" i="38"/>
  <c r="J854" i="38"/>
  <c r="P853" i="38"/>
  <c r="J853" i="38"/>
  <c r="P852" i="38"/>
  <c r="J852" i="38"/>
  <c r="P851" i="38"/>
  <c r="J851" i="38"/>
  <c r="P850" i="38"/>
  <c r="J850" i="38"/>
  <c r="P848" i="38"/>
  <c r="J848" i="38"/>
  <c r="P847" i="38"/>
  <c r="J847" i="38"/>
  <c r="P846" i="38"/>
  <c r="J846" i="38"/>
  <c r="P844" i="38"/>
  <c r="J844" i="38"/>
  <c r="P843" i="38"/>
  <c r="J843" i="38"/>
  <c r="P841" i="38"/>
  <c r="J841" i="38"/>
  <c r="P840" i="38"/>
  <c r="J840" i="38"/>
  <c r="P839" i="38"/>
  <c r="J839" i="38"/>
  <c r="P838" i="38"/>
  <c r="J838" i="38"/>
  <c r="P836" i="38"/>
  <c r="J836" i="38"/>
  <c r="P835" i="38"/>
  <c r="J835" i="38"/>
  <c r="P834" i="38"/>
  <c r="J834" i="38"/>
  <c r="P833" i="38"/>
  <c r="J833" i="38"/>
  <c r="P831" i="38"/>
  <c r="J831" i="38"/>
  <c r="P830" i="38"/>
  <c r="J830" i="38"/>
  <c r="P829" i="38"/>
  <c r="J829" i="38"/>
  <c r="P828" i="38"/>
  <c r="J828" i="38"/>
  <c r="P827" i="38"/>
  <c r="J827" i="38"/>
  <c r="P824" i="38"/>
  <c r="J824" i="38"/>
  <c r="P823" i="38"/>
  <c r="J823" i="38"/>
  <c r="P822" i="38"/>
  <c r="J822" i="38"/>
  <c r="P820" i="38"/>
  <c r="J820" i="38"/>
  <c r="P819" i="38"/>
  <c r="J819" i="38"/>
  <c r="P818" i="38"/>
  <c r="J818" i="38"/>
  <c r="P817" i="38"/>
  <c r="J817" i="38"/>
  <c r="P816" i="38"/>
  <c r="J816" i="38"/>
  <c r="P815" i="38"/>
  <c r="J815" i="38"/>
  <c r="P814" i="38"/>
  <c r="J814" i="38"/>
  <c r="P811" i="38"/>
  <c r="J811" i="38"/>
  <c r="P810" i="38"/>
  <c r="J810" i="38"/>
  <c r="P809" i="38"/>
  <c r="J809" i="38"/>
  <c r="P808" i="38"/>
  <c r="J808" i="38"/>
  <c r="P807" i="38"/>
  <c r="J807" i="38"/>
  <c r="P806" i="38"/>
  <c r="J806" i="38"/>
  <c r="P805" i="38"/>
  <c r="J805" i="38"/>
  <c r="P804" i="38"/>
  <c r="J804" i="38"/>
  <c r="P803" i="38"/>
  <c r="J803" i="38"/>
  <c r="P801" i="38"/>
  <c r="J801" i="38"/>
  <c r="P800" i="38"/>
  <c r="J800" i="38"/>
  <c r="P799" i="38"/>
  <c r="J799" i="38"/>
  <c r="P797" i="38"/>
  <c r="J797" i="38"/>
  <c r="P796" i="38"/>
  <c r="J796" i="38"/>
  <c r="P794" i="38"/>
  <c r="J794" i="38"/>
  <c r="P793" i="38"/>
  <c r="J793" i="38"/>
  <c r="P792" i="38"/>
  <c r="J792" i="38"/>
  <c r="P791" i="38"/>
  <c r="J791" i="38"/>
  <c r="P789" i="38"/>
  <c r="J789" i="38"/>
  <c r="P788" i="38"/>
  <c r="J788" i="38"/>
  <c r="P787" i="38"/>
  <c r="J787" i="38"/>
  <c r="P786" i="38"/>
  <c r="J786" i="38"/>
  <c r="P784" i="38"/>
  <c r="J784" i="38"/>
  <c r="P783" i="38"/>
  <c r="J783" i="38"/>
  <c r="P782" i="38"/>
  <c r="J782" i="38"/>
  <c r="P781" i="38"/>
  <c r="J781" i="38"/>
  <c r="P780" i="38"/>
  <c r="J780" i="38"/>
  <c r="P777" i="38"/>
  <c r="J777" i="38"/>
  <c r="P776" i="38"/>
  <c r="J776" i="38"/>
  <c r="P775" i="38"/>
  <c r="J775" i="38"/>
  <c r="P773" i="38"/>
  <c r="J773" i="38"/>
  <c r="P772" i="38"/>
  <c r="J772" i="38"/>
  <c r="P771" i="38"/>
  <c r="J771" i="38"/>
  <c r="P770" i="38"/>
  <c r="J770" i="38"/>
  <c r="P769" i="38"/>
  <c r="J769" i="38"/>
  <c r="P768" i="38"/>
  <c r="J768" i="38"/>
  <c r="P767" i="38"/>
  <c r="J767" i="38"/>
  <c r="P761" i="38"/>
  <c r="J761" i="38"/>
  <c r="P760" i="38"/>
  <c r="J760" i="38"/>
  <c r="P759" i="38"/>
  <c r="J759" i="38"/>
  <c r="P758" i="38"/>
  <c r="J758" i="38"/>
  <c r="P757" i="38"/>
  <c r="J757" i="38"/>
  <c r="P756" i="38"/>
  <c r="J756" i="38"/>
  <c r="P755" i="38"/>
  <c r="J755" i="38"/>
  <c r="P754" i="38"/>
  <c r="J754" i="38"/>
  <c r="P753" i="38"/>
  <c r="J753" i="38"/>
  <c r="P751" i="38"/>
  <c r="J751" i="38"/>
  <c r="P750" i="38"/>
  <c r="J750" i="38"/>
  <c r="P749" i="38"/>
  <c r="J749" i="38"/>
  <c r="P747" i="38"/>
  <c r="J747" i="38"/>
  <c r="P746" i="38"/>
  <c r="J746" i="38"/>
  <c r="P744" i="38"/>
  <c r="J744" i="38"/>
  <c r="P743" i="38"/>
  <c r="J743" i="38"/>
  <c r="P742" i="38"/>
  <c r="J742" i="38"/>
  <c r="P741" i="38"/>
  <c r="J741" i="38"/>
  <c r="P739" i="38"/>
  <c r="J739" i="38"/>
  <c r="P738" i="38"/>
  <c r="J738" i="38"/>
  <c r="P737" i="38"/>
  <c r="J737" i="38"/>
  <c r="P736" i="38"/>
  <c r="J736" i="38"/>
  <c r="P734" i="38"/>
  <c r="J734" i="38"/>
  <c r="P733" i="38"/>
  <c r="J733" i="38"/>
  <c r="P732" i="38"/>
  <c r="J732" i="38"/>
  <c r="P731" i="38"/>
  <c r="J731" i="38"/>
  <c r="P730" i="38"/>
  <c r="J730" i="38"/>
  <c r="P729" i="38"/>
  <c r="J729" i="38"/>
  <c r="P728" i="38"/>
  <c r="J728" i="38"/>
  <c r="P727" i="38"/>
  <c r="J727" i="38"/>
  <c r="P726" i="38"/>
  <c r="J726" i="38"/>
  <c r="P725" i="38"/>
  <c r="J725" i="38"/>
  <c r="P722" i="38"/>
  <c r="J722" i="38"/>
  <c r="P721" i="38"/>
  <c r="J721" i="38"/>
  <c r="P720" i="38"/>
  <c r="J720" i="38"/>
  <c r="P718" i="38"/>
  <c r="J718" i="38"/>
  <c r="P717" i="38"/>
  <c r="J717" i="38"/>
  <c r="P716" i="38"/>
  <c r="J716" i="38"/>
  <c r="P715" i="38"/>
  <c r="J715" i="38"/>
  <c r="P714" i="38"/>
  <c r="J714" i="38"/>
  <c r="P713" i="38"/>
  <c r="J713" i="38"/>
  <c r="P712" i="38"/>
  <c r="J712" i="38"/>
  <c r="P709" i="38"/>
  <c r="J709" i="38"/>
  <c r="P708" i="38"/>
  <c r="J708" i="38"/>
  <c r="P707" i="38"/>
  <c r="J707" i="38"/>
  <c r="P706" i="38"/>
  <c r="J706" i="38"/>
  <c r="P705" i="38"/>
  <c r="J705" i="38"/>
  <c r="P704" i="38"/>
  <c r="J704" i="38"/>
  <c r="P703" i="38"/>
  <c r="J703" i="38"/>
  <c r="P702" i="38"/>
  <c r="J702" i="38"/>
  <c r="P701" i="38"/>
  <c r="J701" i="38"/>
  <c r="P699" i="38"/>
  <c r="J699" i="38"/>
  <c r="P698" i="38"/>
  <c r="J698" i="38"/>
  <c r="P697" i="38"/>
  <c r="J697" i="38"/>
  <c r="P695" i="38"/>
  <c r="J695" i="38"/>
  <c r="P694" i="38"/>
  <c r="J694" i="38"/>
  <c r="P692" i="38"/>
  <c r="J692" i="38"/>
  <c r="P691" i="38"/>
  <c r="J691" i="38"/>
  <c r="P690" i="38"/>
  <c r="J690" i="38"/>
  <c r="P689" i="38"/>
  <c r="J689" i="38"/>
  <c r="P687" i="38"/>
  <c r="J687" i="38"/>
  <c r="P686" i="38"/>
  <c r="J686" i="38"/>
  <c r="P685" i="38"/>
  <c r="J685" i="38"/>
  <c r="P684" i="38"/>
  <c r="J684" i="38"/>
  <c r="P682" i="38"/>
  <c r="J682" i="38"/>
  <c r="P681" i="38"/>
  <c r="J681" i="38"/>
  <c r="P680" i="38"/>
  <c r="J680" i="38"/>
  <c r="P679" i="38"/>
  <c r="J679" i="38"/>
  <c r="P678" i="38"/>
  <c r="J678" i="38"/>
  <c r="P675" i="38"/>
  <c r="J675" i="38"/>
  <c r="P674" i="38"/>
  <c r="J674" i="38"/>
  <c r="P673" i="38"/>
  <c r="J673" i="38"/>
  <c r="P671" i="38"/>
  <c r="J671" i="38"/>
  <c r="P670" i="38"/>
  <c r="J670" i="38"/>
  <c r="P669" i="38"/>
  <c r="J669" i="38"/>
  <c r="P668" i="38"/>
  <c r="J668" i="38"/>
  <c r="P667" i="38"/>
  <c r="J667" i="38"/>
  <c r="P666" i="38"/>
  <c r="J666" i="38"/>
  <c r="P665" i="38"/>
  <c r="J665" i="38"/>
  <c r="P662" i="38"/>
  <c r="J662" i="38"/>
  <c r="P661" i="38"/>
  <c r="J661" i="38"/>
  <c r="P660" i="38"/>
  <c r="J660" i="38"/>
  <c r="P659" i="38"/>
  <c r="J659" i="38"/>
  <c r="P658" i="38"/>
  <c r="J658" i="38"/>
  <c r="P657" i="38"/>
  <c r="J657" i="38"/>
  <c r="P656" i="38"/>
  <c r="J656" i="38"/>
  <c r="P655" i="38"/>
  <c r="J655" i="38"/>
  <c r="P654" i="38"/>
  <c r="J654" i="38"/>
  <c r="P652" i="38"/>
  <c r="J652" i="38"/>
  <c r="P651" i="38"/>
  <c r="J651" i="38"/>
  <c r="P650" i="38"/>
  <c r="J650" i="38"/>
  <c r="P648" i="38"/>
  <c r="J648" i="38"/>
  <c r="P647" i="38"/>
  <c r="J647" i="38"/>
  <c r="P645" i="38"/>
  <c r="J645" i="38"/>
  <c r="P644" i="38"/>
  <c r="J644" i="38"/>
  <c r="P643" i="38"/>
  <c r="J643" i="38"/>
  <c r="P642" i="38"/>
  <c r="J642" i="38"/>
  <c r="P640" i="38"/>
  <c r="J640" i="38"/>
  <c r="P639" i="38"/>
  <c r="J639" i="38"/>
  <c r="P638" i="38"/>
  <c r="J638" i="38"/>
  <c r="P637" i="38"/>
  <c r="J637" i="38"/>
  <c r="P635" i="38"/>
  <c r="J635" i="38"/>
  <c r="P634" i="38"/>
  <c r="J634" i="38"/>
  <c r="P633" i="38"/>
  <c r="J633" i="38"/>
  <c r="P632" i="38"/>
  <c r="J632" i="38"/>
  <c r="P631" i="38"/>
  <c r="J631" i="38"/>
  <c r="P628" i="38"/>
  <c r="J628" i="38"/>
  <c r="P627" i="38"/>
  <c r="J627" i="38"/>
  <c r="P626" i="38"/>
  <c r="J626" i="38"/>
  <c r="P624" i="38"/>
  <c r="J624" i="38"/>
  <c r="P623" i="38"/>
  <c r="J623" i="38"/>
  <c r="P622" i="38"/>
  <c r="J622" i="38"/>
  <c r="P621" i="38"/>
  <c r="J621" i="38"/>
  <c r="P620" i="38"/>
  <c r="J620" i="38"/>
  <c r="P619" i="38"/>
  <c r="J619" i="38"/>
  <c r="P618" i="38"/>
  <c r="J618" i="38"/>
  <c r="P615" i="38"/>
  <c r="J615" i="38"/>
  <c r="P614" i="38"/>
  <c r="J614" i="38"/>
  <c r="P613" i="38"/>
  <c r="J613" i="38"/>
  <c r="P612" i="38"/>
  <c r="J612" i="38"/>
  <c r="P611" i="38"/>
  <c r="J611" i="38"/>
  <c r="P610" i="38"/>
  <c r="J610" i="38"/>
  <c r="P609" i="38"/>
  <c r="J609" i="38"/>
  <c r="P608" i="38"/>
  <c r="J608" i="38"/>
  <c r="P607" i="38"/>
  <c r="J607" i="38"/>
  <c r="P605" i="38"/>
  <c r="J605" i="38"/>
  <c r="P604" i="38"/>
  <c r="J604" i="38"/>
  <c r="P603" i="38"/>
  <c r="J603" i="38"/>
  <c r="P601" i="38"/>
  <c r="J601" i="38"/>
  <c r="P600" i="38"/>
  <c r="J600" i="38"/>
  <c r="P598" i="38"/>
  <c r="J598" i="38"/>
  <c r="P597" i="38"/>
  <c r="J597" i="38"/>
  <c r="P596" i="38"/>
  <c r="J596" i="38"/>
  <c r="P595" i="38"/>
  <c r="J595" i="38"/>
  <c r="P593" i="38"/>
  <c r="J593" i="38"/>
  <c r="P592" i="38"/>
  <c r="J592" i="38"/>
  <c r="P591" i="38"/>
  <c r="J591" i="38"/>
  <c r="P590" i="38"/>
  <c r="J590" i="38"/>
  <c r="P588" i="38"/>
  <c r="J588" i="38"/>
  <c r="P587" i="38"/>
  <c r="J587" i="38"/>
  <c r="P586" i="38"/>
  <c r="J586" i="38"/>
  <c r="P585" i="38"/>
  <c r="J585" i="38"/>
  <c r="P584" i="38"/>
  <c r="J584" i="38"/>
  <c r="P581" i="38"/>
  <c r="J581" i="38"/>
  <c r="P580" i="38"/>
  <c r="J580" i="38"/>
  <c r="P579" i="38"/>
  <c r="J579" i="38"/>
  <c r="P577" i="38"/>
  <c r="J577" i="38"/>
  <c r="P576" i="38"/>
  <c r="J576" i="38"/>
  <c r="P575" i="38"/>
  <c r="J575" i="38"/>
  <c r="P574" i="38"/>
  <c r="J574" i="38"/>
  <c r="P573" i="38"/>
  <c r="J573" i="38"/>
  <c r="P572" i="38"/>
  <c r="J572" i="38"/>
  <c r="P571" i="38"/>
  <c r="J571" i="38"/>
  <c r="P568" i="38"/>
  <c r="J568" i="38"/>
  <c r="P567" i="38"/>
  <c r="J567" i="38"/>
  <c r="P566" i="38"/>
  <c r="J566" i="38"/>
  <c r="P565" i="38"/>
  <c r="J565" i="38"/>
  <c r="P564" i="38"/>
  <c r="J564" i="38"/>
  <c r="P563" i="38"/>
  <c r="J563" i="38"/>
  <c r="P562" i="38"/>
  <c r="J562" i="38"/>
  <c r="P561" i="38"/>
  <c r="J561" i="38"/>
  <c r="P560" i="38"/>
  <c r="J560" i="38"/>
  <c r="P558" i="38"/>
  <c r="J558" i="38"/>
  <c r="P557" i="38"/>
  <c r="J557" i="38"/>
  <c r="P556" i="38"/>
  <c r="J556" i="38"/>
  <c r="P554" i="38"/>
  <c r="J554" i="38"/>
  <c r="P553" i="38"/>
  <c r="J553" i="38"/>
  <c r="P551" i="38"/>
  <c r="J551" i="38"/>
  <c r="P550" i="38"/>
  <c r="J550" i="38"/>
  <c r="P549" i="38"/>
  <c r="J549" i="38"/>
  <c r="P548" i="38"/>
  <c r="J548" i="38"/>
  <c r="P546" i="38"/>
  <c r="J546" i="38"/>
  <c r="P545" i="38"/>
  <c r="J545" i="38"/>
  <c r="P544" i="38"/>
  <c r="J544" i="38"/>
  <c r="P543" i="38"/>
  <c r="J543" i="38"/>
  <c r="P541" i="38"/>
  <c r="J541" i="38"/>
  <c r="P540" i="38"/>
  <c r="J540" i="38"/>
  <c r="P539" i="38"/>
  <c r="J539" i="38"/>
  <c r="P538" i="38"/>
  <c r="J538" i="38"/>
  <c r="P537" i="38"/>
  <c r="J537" i="38"/>
  <c r="P534" i="38"/>
  <c r="J534" i="38"/>
  <c r="P533" i="38"/>
  <c r="J533" i="38"/>
  <c r="P532" i="38"/>
  <c r="J532" i="38"/>
  <c r="P530" i="38"/>
  <c r="J530" i="38"/>
  <c r="P529" i="38"/>
  <c r="J529" i="38"/>
  <c r="P528" i="38"/>
  <c r="J528" i="38"/>
  <c r="P527" i="38"/>
  <c r="J527" i="38"/>
  <c r="P526" i="38"/>
  <c r="J526" i="38"/>
  <c r="P525" i="38"/>
  <c r="J525" i="38"/>
  <c r="P524" i="38"/>
  <c r="J524" i="38"/>
  <c r="P521" i="38"/>
  <c r="J521" i="38"/>
  <c r="P520" i="38"/>
  <c r="J520" i="38"/>
  <c r="P519" i="38"/>
  <c r="J519" i="38"/>
  <c r="P518" i="38"/>
  <c r="J518" i="38"/>
  <c r="P517" i="38"/>
  <c r="J517" i="38"/>
  <c r="P516" i="38"/>
  <c r="J516" i="38"/>
  <c r="P515" i="38"/>
  <c r="J515" i="38"/>
  <c r="P514" i="38"/>
  <c r="J514" i="38"/>
  <c r="P513" i="38"/>
  <c r="J513" i="38"/>
  <c r="P511" i="38"/>
  <c r="J511" i="38"/>
  <c r="P510" i="38"/>
  <c r="J510" i="38"/>
  <c r="P509" i="38"/>
  <c r="J509" i="38"/>
  <c r="P507" i="38"/>
  <c r="J507" i="38"/>
  <c r="P506" i="38"/>
  <c r="J506" i="38"/>
  <c r="P504" i="38"/>
  <c r="J504" i="38"/>
  <c r="P503" i="38"/>
  <c r="J503" i="38"/>
  <c r="P502" i="38"/>
  <c r="J502" i="38"/>
  <c r="P501" i="38"/>
  <c r="J501" i="38"/>
  <c r="P499" i="38"/>
  <c r="J499" i="38"/>
  <c r="P498" i="38"/>
  <c r="J498" i="38"/>
  <c r="P497" i="38"/>
  <c r="J497" i="38"/>
  <c r="P496" i="38"/>
  <c r="J496" i="38"/>
  <c r="P495" i="38"/>
  <c r="J495" i="38"/>
  <c r="P493" i="38"/>
  <c r="J493" i="38"/>
  <c r="P492" i="38"/>
  <c r="J492" i="38"/>
  <c r="P491" i="38"/>
  <c r="J491" i="38"/>
  <c r="P490" i="38"/>
  <c r="J490" i="38"/>
  <c r="P489" i="38"/>
  <c r="J489" i="38"/>
  <c r="P487" i="38"/>
  <c r="J487" i="38"/>
  <c r="P485" i="38"/>
  <c r="J485" i="38"/>
  <c r="P484" i="38"/>
  <c r="J484" i="38"/>
  <c r="P483" i="38"/>
  <c r="J483" i="38"/>
  <c r="P481" i="38"/>
  <c r="J481" i="38"/>
  <c r="P480" i="38"/>
  <c r="J480" i="38"/>
  <c r="P479" i="38"/>
  <c r="J479" i="38"/>
  <c r="P478" i="38"/>
  <c r="J478" i="38"/>
  <c r="P477" i="38"/>
  <c r="J477" i="38"/>
  <c r="P476" i="38"/>
  <c r="J476" i="38"/>
  <c r="P475" i="38"/>
  <c r="J475" i="38"/>
  <c r="P472" i="38"/>
  <c r="J472" i="38"/>
  <c r="P471" i="38"/>
  <c r="J471" i="38"/>
  <c r="P470" i="38"/>
  <c r="J470" i="38"/>
  <c r="P469" i="38"/>
  <c r="J469" i="38"/>
  <c r="P468" i="38"/>
  <c r="J468" i="38"/>
  <c r="P467" i="38"/>
  <c r="J467" i="38"/>
  <c r="P466" i="38"/>
  <c r="J466" i="38"/>
  <c r="P465" i="38"/>
  <c r="J465" i="38"/>
  <c r="P464" i="38"/>
  <c r="J464" i="38"/>
  <c r="P462" i="38"/>
  <c r="J462" i="38"/>
  <c r="P461" i="38"/>
  <c r="J461" i="38"/>
  <c r="P460" i="38"/>
  <c r="J460" i="38"/>
  <c r="P458" i="38"/>
  <c r="J458" i="38"/>
  <c r="P457" i="38"/>
  <c r="J457" i="38"/>
  <c r="P455" i="38"/>
  <c r="J455" i="38"/>
  <c r="P454" i="38"/>
  <c r="J454" i="38"/>
  <c r="P453" i="38"/>
  <c r="J453" i="38"/>
  <c r="P452" i="38"/>
  <c r="J452" i="38"/>
  <c r="P450" i="38"/>
  <c r="J450" i="38"/>
  <c r="P449" i="38"/>
  <c r="J449" i="38"/>
  <c r="P448" i="38"/>
  <c r="J448" i="38"/>
  <c r="P447" i="38"/>
  <c r="J447" i="38"/>
  <c r="P445" i="38"/>
  <c r="J445" i="38"/>
  <c r="P444" i="38"/>
  <c r="J444" i="38"/>
  <c r="P443" i="38"/>
  <c r="J443" i="38"/>
  <c r="P442" i="38"/>
  <c r="J442" i="38"/>
  <c r="P441" i="38"/>
  <c r="J441" i="38"/>
  <c r="P438" i="38"/>
  <c r="J438" i="38"/>
  <c r="P437" i="38"/>
  <c r="J437" i="38"/>
  <c r="P436" i="38"/>
  <c r="J436" i="38"/>
  <c r="P434" i="38"/>
  <c r="J434" i="38"/>
  <c r="P433" i="38"/>
  <c r="J433" i="38"/>
  <c r="P432" i="38"/>
  <c r="J432" i="38"/>
  <c r="P431" i="38"/>
  <c r="J431" i="38"/>
  <c r="P430" i="38"/>
  <c r="J430" i="38"/>
  <c r="P429" i="38"/>
  <c r="J429" i="38"/>
  <c r="P428" i="38"/>
  <c r="J428" i="38"/>
  <c r="P425" i="38"/>
  <c r="J425" i="38"/>
  <c r="P424" i="38"/>
  <c r="J424" i="38"/>
  <c r="P423" i="38"/>
  <c r="J423" i="38"/>
  <c r="P422" i="38"/>
  <c r="J422" i="38"/>
  <c r="P421" i="38"/>
  <c r="J421" i="38"/>
  <c r="P420" i="38"/>
  <c r="J420" i="38"/>
  <c r="P419" i="38"/>
  <c r="J419" i="38"/>
  <c r="P418" i="38"/>
  <c r="J418" i="38"/>
  <c r="P417" i="38"/>
  <c r="J417" i="38"/>
  <c r="P415" i="38"/>
  <c r="J415" i="38"/>
  <c r="P414" i="38"/>
  <c r="J414" i="38"/>
  <c r="P413" i="38"/>
  <c r="J413" i="38"/>
  <c r="P411" i="38"/>
  <c r="J411" i="38"/>
  <c r="P410" i="38"/>
  <c r="J410" i="38"/>
  <c r="P408" i="38"/>
  <c r="J408" i="38"/>
  <c r="P407" i="38"/>
  <c r="J407" i="38"/>
  <c r="P406" i="38"/>
  <c r="J406" i="38"/>
  <c r="P405" i="38"/>
  <c r="J405" i="38"/>
  <c r="P403" i="38"/>
  <c r="J403" i="38"/>
  <c r="P402" i="38"/>
  <c r="J402" i="38"/>
  <c r="P401" i="38"/>
  <c r="J401" i="38"/>
  <c r="P400" i="38"/>
  <c r="J400" i="38"/>
  <c r="P398" i="38"/>
  <c r="J398" i="38"/>
  <c r="P397" i="38"/>
  <c r="J397" i="38"/>
  <c r="P396" i="38"/>
  <c r="J396" i="38"/>
  <c r="P395" i="38"/>
  <c r="J395" i="38"/>
  <c r="P394" i="38"/>
  <c r="J394" i="38"/>
  <c r="P391" i="38"/>
  <c r="J391" i="38"/>
  <c r="P390" i="38"/>
  <c r="J390" i="38"/>
  <c r="P389" i="38"/>
  <c r="J389" i="38"/>
  <c r="P387" i="38"/>
  <c r="J387" i="38"/>
  <c r="P386" i="38"/>
  <c r="J386" i="38"/>
  <c r="P385" i="38"/>
  <c r="J385" i="38"/>
  <c r="P384" i="38"/>
  <c r="J384" i="38"/>
  <c r="P383" i="38"/>
  <c r="J383" i="38"/>
  <c r="P382" i="38"/>
  <c r="J382" i="38"/>
  <c r="P381" i="38"/>
  <c r="J381" i="38"/>
  <c r="P375" i="38"/>
  <c r="J375" i="38"/>
  <c r="P374" i="38"/>
  <c r="J374" i="38"/>
  <c r="P373" i="38"/>
  <c r="J373" i="38"/>
  <c r="P372" i="38"/>
  <c r="J372" i="38"/>
  <c r="P371" i="38"/>
  <c r="J371" i="38"/>
  <c r="P370" i="38"/>
  <c r="J370" i="38"/>
  <c r="P369" i="38"/>
  <c r="J369" i="38"/>
  <c r="P368" i="38"/>
  <c r="J368" i="38"/>
  <c r="P367" i="38"/>
  <c r="J367" i="38"/>
  <c r="P365" i="38"/>
  <c r="J365" i="38"/>
  <c r="P364" i="38"/>
  <c r="J364" i="38"/>
  <c r="P363" i="38"/>
  <c r="J363" i="38"/>
  <c r="P361" i="38"/>
  <c r="J361" i="38"/>
  <c r="P360" i="38"/>
  <c r="J360" i="38"/>
  <c r="P358" i="38"/>
  <c r="J358" i="38"/>
  <c r="P357" i="38"/>
  <c r="J357" i="38"/>
  <c r="P356" i="38"/>
  <c r="J356" i="38"/>
  <c r="P355" i="38"/>
  <c r="J355" i="38"/>
  <c r="P353" i="38"/>
  <c r="J353" i="38"/>
  <c r="P352" i="38"/>
  <c r="J352" i="38"/>
  <c r="P351" i="38"/>
  <c r="J351" i="38"/>
  <c r="P350" i="38"/>
  <c r="J350" i="38"/>
  <c r="P348" i="38"/>
  <c r="J348" i="38"/>
  <c r="P347" i="38"/>
  <c r="J347" i="38"/>
  <c r="P346" i="38"/>
  <c r="J346" i="38"/>
  <c r="P345" i="38"/>
  <c r="J345" i="38"/>
  <c r="P344" i="38"/>
  <c r="J344" i="38"/>
  <c r="P343" i="38"/>
  <c r="J343" i="38"/>
  <c r="P340" i="38"/>
  <c r="J340" i="38"/>
  <c r="P339" i="38"/>
  <c r="J339" i="38"/>
  <c r="P338" i="38"/>
  <c r="J338" i="38"/>
  <c r="P336" i="38"/>
  <c r="J336" i="38"/>
  <c r="P335" i="38"/>
  <c r="J335" i="38"/>
  <c r="P334" i="38"/>
  <c r="J334" i="38"/>
  <c r="P333" i="38"/>
  <c r="J333" i="38"/>
  <c r="P332" i="38"/>
  <c r="J332" i="38"/>
  <c r="P331" i="38"/>
  <c r="J331" i="38"/>
  <c r="P330" i="38"/>
  <c r="J330" i="38"/>
  <c r="P329" i="38"/>
  <c r="J329" i="38"/>
  <c r="P328" i="38"/>
  <c r="J328" i="38"/>
  <c r="P327" i="38"/>
  <c r="J327" i="38"/>
  <c r="P326" i="38"/>
  <c r="J326" i="38"/>
  <c r="P325" i="38"/>
  <c r="J325" i="38"/>
  <c r="P320" i="38"/>
  <c r="J320" i="38"/>
  <c r="P319" i="38"/>
  <c r="J319" i="38"/>
  <c r="P318" i="38"/>
  <c r="J318" i="38"/>
  <c r="P317" i="38"/>
  <c r="J317" i="38"/>
  <c r="P316" i="38"/>
  <c r="J316" i="38"/>
  <c r="P315" i="38"/>
  <c r="J315" i="38"/>
  <c r="P314" i="38"/>
  <c r="J314" i="38"/>
  <c r="P313" i="38"/>
  <c r="J313" i="38"/>
  <c r="P312" i="38"/>
  <c r="J312" i="38"/>
  <c r="P310" i="38"/>
  <c r="J310" i="38"/>
  <c r="P309" i="38"/>
  <c r="J309" i="38"/>
  <c r="P308" i="38"/>
  <c r="J308" i="38"/>
  <c r="P306" i="38"/>
  <c r="J306" i="38"/>
  <c r="P305" i="38"/>
  <c r="J305" i="38"/>
  <c r="P303" i="38"/>
  <c r="J303" i="38"/>
  <c r="P302" i="38"/>
  <c r="J302" i="38"/>
  <c r="P301" i="38"/>
  <c r="J301" i="38"/>
  <c r="P300" i="38"/>
  <c r="J300" i="38"/>
  <c r="P298" i="38"/>
  <c r="J298" i="38"/>
  <c r="P297" i="38"/>
  <c r="J297" i="38"/>
  <c r="P296" i="38"/>
  <c r="J296" i="38"/>
  <c r="P295" i="38"/>
  <c r="J295" i="38"/>
  <c r="P293" i="38"/>
  <c r="J293" i="38"/>
  <c r="P292" i="38"/>
  <c r="J292" i="38"/>
  <c r="P291" i="38"/>
  <c r="J291" i="38"/>
  <c r="P290" i="38"/>
  <c r="J290" i="38"/>
  <c r="P289" i="38"/>
  <c r="J289" i="38"/>
  <c r="P288" i="38"/>
  <c r="J288" i="38"/>
  <c r="P287" i="38"/>
  <c r="J287" i="38"/>
  <c r="P284" i="38"/>
  <c r="J284" i="38"/>
  <c r="P283" i="38"/>
  <c r="J283" i="38"/>
  <c r="P282" i="38"/>
  <c r="J282" i="38"/>
  <c r="P280" i="38"/>
  <c r="J280" i="38"/>
  <c r="P279" i="38"/>
  <c r="J279" i="38"/>
  <c r="P278" i="38"/>
  <c r="J278" i="38"/>
  <c r="P277" i="38"/>
  <c r="J277" i="38"/>
  <c r="P276" i="38"/>
  <c r="J276" i="38"/>
  <c r="P275" i="38"/>
  <c r="J275" i="38"/>
  <c r="P274" i="38"/>
  <c r="J274" i="38"/>
  <c r="P271" i="38"/>
  <c r="J271" i="38"/>
  <c r="P270" i="38"/>
  <c r="J270" i="38"/>
  <c r="P269" i="38"/>
  <c r="J269" i="38"/>
  <c r="P268" i="38"/>
  <c r="J268" i="38"/>
  <c r="P267" i="38"/>
  <c r="J267" i="38"/>
  <c r="P266" i="38"/>
  <c r="J266" i="38"/>
  <c r="P265" i="38"/>
  <c r="J265" i="38"/>
  <c r="P264" i="38"/>
  <c r="J264" i="38"/>
  <c r="P263" i="38"/>
  <c r="J263" i="38"/>
  <c r="P261" i="38"/>
  <c r="J261" i="38"/>
  <c r="P260" i="38"/>
  <c r="J260" i="38"/>
  <c r="P259" i="38"/>
  <c r="J259" i="38"/>
  <c r="P257" i="38"/>
  <c r="J257" i="38"/>
  <c r="P256" i="38"/>
  <c r="J256" i="38"/>
  <c r="P254" i="38"/>
  <c r="J254" i="38"/>
  <c r="P253" i="38"/>
  <c r="J253" i="38"/>
  <c r="P252" i="38"/>
  <c r="J252" i="38"/>
  <c r="P251" i="38"/>
  <c r="J251" i="38"/>
  <c r="P249" i="38"/>
  <c r="J249" i="38"/>
  <c r="P248" i="38"/>
  <c r="J248" i="38"/>
  <c r="P247" i="38"/>
  <c r="J247" i="38"/>
  <c r="P246" i="38"/>
  <c r="J246" i="38"/>
  <c r="P244" i="38"/>
  <c r="J244" i="38"/>
  <c r="P243" i="38"/>
  <c r="J243" i="38"/>
  <c r="P242" i="38"/>
  <c r="J242" i="38"/>
  <c r="P241" i="38"/>
  <c r="J241" i="38"/>
  <c r="P240" i="38"/>
  <c r="J240" i="38"/>
  <c r="P239" i="38"/>
  <c r="J239" i="38"/>
  <c r="P238" i="38"/>
  <c r="J238" i="38"/>
  <c r="P235" i="38"/>
  <c r="J235" i="38"/>
  <c r="P234" i="38"/>
  <c r="J234" i="38"/>
  <c r="P233" i="38"/>
  <c r="J233" i="38"/>
  <c r="P231" i="38"/>
  <c r="J231" i="38"/>
  <c r="P230" i="38"/>
  <c r="J230" i="38"/>
  <c r="P229" i="38"/>
  <c r="J229" i="38"/>
  <c r="P228" i="38"/>
  <c r="J228" i="38"/>
  <c r="P227" i="38"/>
  <c r="J227" i="38"/>
  <c r="P226" i="38"/>
  <c r="J226" i="38"/>
  <c r="P225" i="38"/>
  <c r="J225" i="38"/>
  <c r="P218" i="38"/>
  <c r="J218" i="38"/>
  <c r="P217" i="38"/>
  <c r="J217" i="38"/>
  <c r="P216" i="38"/>
  <c r="J216" i="38"/>
  <c r="P215" i="38"/>
  <c r="J215" i="38"/>
  <c r="P214" i="38"/>
  <c r="J214" i="38"/>
  <c r="P213" i="38"/>
  <c r="J213" i="38"/>
  <c r="P212" i="38"/>
  <c r="J212" i="38"/>
  <c r="P211" i="38"/>
  <c r="J211" i="38"/>
  <c r="P210" i="38"/>
  <c r="J210" i="38"/>
  <c r="P208" i="38"/>
  <c r="J208" i="38"/>
  <c r="P207" i="38"/>
  <c r="J207" i="38"/>
  <c r="P206" i="38"/>
  <c r="J206" i="38"/>
  <c r="P204" i="38"/>
  <c r="J204" i="38"/>
  <c r="P203" i="38"/>
  <c r="J203" i="38"/>
  <c r="P201" i="38"/>
  <c r="J201" i="38"/>
  <c r="P200" i="38"/>
  <c r="J200" i="38"/>
  <c r="P199" i="38"/>
  <c r="J199" i="38"/>
  <c r="P198" i="38"/>
  <c r="J198" i="38"/>
  <c r="P196" i="38"/>
  <c r="J196" i="38"/>
  <c r="P195" i="38"/>
  <c r="J195" i="38"/>
  <c r="P194" i="38"/>
  <c r="J194" i="38"/>
  <c r="P193" i="38"/>
  <c r="J193" i="38"/>
  <c r="P191" i="38"/>
  <c r="J191" i="38"/>
  <c r="P190" i="38"/>
  <c r="J190" i="38"/>
  <c r="P189" i="38"/>
  <c r="J189" i="38"/>
  <c r="P188" i="38"/>
  <c r="J188" i="38"/>
  <c r="P187" i="38"/>
  <c r="J187" i="38"/>
  <c r="P184" i="38"/>
  <c r="J184" i="38"/>
  <c r="P183" i="38"/>
  <c r="J183" i="38"/>
  <c r="P182" i="38"/>
  <c r="J182" i="38"/>
  <c r="P180" i="38"/>
  <c r="J180" i="38"/>
  <c r="P179" i="38"/>
  <c r="J179" i="38"/>
  <c r="P178" i="38"/>
  <c r="J178" i="38"/>
  <c r="P177" i="38"/>
  <c r="J177" i="38"/>
  <c r="P176" i="38"/>
  <c r="J176" i="38"/>
  <c r="P175" i="38"/>
  <c r="J175" i="38"/>
  <c r="P174" i="38"/>
  <c r="J174" i="38"/>
  <c r="P173" i="38"/>
  <c r="J173" i="38"/>
  <c r="P172" i="38"/>
  <c r="J172" i="38"/>
  <c r="P163" i="38"/>
  <c r="J163" i="38"/>
  <c r="P162" i="38"/>
  <c r="J162" i="38"/>
  <c r="P161" i="38"/>
  <c r="J161" i="38"/>
  <c r="P159" i="38"/>
  <c r="J159" i="38"/>
  <c r="P158" i="38"/>
  <c r="J158" i="38"/>
  <c r="P157" i="38"/>
  <c r="J157" i="38"/>
  <c r="P155" i="38"/>
  <c r="J155" i="38"/>
  <c r="P154" i="38"/>
  <c r="J154" i="38"/>
  <c r="P153" i="38"/>
  <c r="J153" i="38"/>
  <c r="P152" i="38"/>
  <c r="J152" i="38"/>
  <c r="P151" i="38"/>
  <c r="J151" i="38"/>
  <c r="P150" i="38"/>
  <c r="J150" i="38"/>
  <c r="P149" i="38"/>
  <c r="J149" i="38"/>
  <c r="P148" i="38"/>
  <c r="J148" i="38"/>
  <c r="P147" i="38"/>
  <c r="J147" i="38"/>
  <c r="P146" i="38"/>
  <c r="J146" i="38"/>
  <c r="P145" i="38"/>
  <c r="J145" i="38"/>
  <c r="P144" i="38"/>
  <c r="J144" i="38"/>
  <c r="P143" i="38"/>
  <c r="J143" i="38"/>
  <c r="P142" i="38"/>
  <c r="J142" i="38"/>
  <c r="P141" i="38"/>
  <c r="J141" i="38"/>
  <c r="P140" i="38"/>
  <c r="J140" i="38"/>
  <c r="P138" i="38"/>
  <c r="J138" i="38"/>
  <c r="P137" i="38"/>
  <c r="J137" i="38"/>
  <c r="P136" i="38"/>
  <c r="J136" i="38"/>
  <c r="P135" i="38"/>
  <c r="J135" i="38"/>
  <c r="P133" i="38"/>
  <c r="J133" i="38"/>
  <c r="P132" i="38"/>
  <c r="J132" i="38"/>
  <c r="P131" i="38"/>
  <c r="J131" i="38"/>
  <c r="P128" i="38"/>
  <c r="J128" i="38"/>
  <c r="P127" i="38"/>
  <c r="J127" i="38"/>
  <c r="P126" i="38"/>
  <c r="J126" i="38"/>
  <c r="P125" i="38"/>
  <c r="J125" i="38"/>
  <c r="P122" i="38"/>
  <c r="J122" i="38"/>
  <c r="P120" i="38"/>
  <c r="P119" i="38"/>
  <c r="J119" i="38"/>
  <c r="J118" i="38"/>
  <c r="P113" i="38"/>
  <c r="J113" i="38"/>
  <c r="P112" i="38"/>
  <c r="J112" i="38"/>
  <c r="J111" i="38"/>
  <c r="J110" i="38"/>
  <c r="P109" i="38"/>
  <c r="J109" i="38"/>
  <c r="P108" i="38"/>
  <c r="J108" i="38"/>
  <c r="P107" i="38"/>
  <c r="J107" i="38"/>
  <c r="P106" i="38"/>
  <c r="J106" i="38"/>
  <c r="J105" i="38"/>
  <c r="J104" i="38"/>
  <c r="P103" i="38"/>
  <c r="J103" i="38"/>
  <c r="P102" i="38"/>
  <c r="J102" i="38"/>
  <c r="P101" i="38"/>
  <c r="J101" i="38"/>
  <c r="P100" i="38"/>
  <c r="J100" i="38"/>
  <c r="P99" i="38"/>
  <c r="J99" i="38"/>
  <c r="P98" i="38"/>
  <c r="J98" i="38"/>
  <c r="P97" i="38"/>
  <c r="J97" i="38"/>
  <c r="P96" i="38"/>
  <c r="J96" i="38"/>
  <c r="P95" i="38"/>
  <c r="J95" i="38"/>
  <c r="J94" i="38"/>
  <c r="P93" i="38"/>
  <c r="J93" i="38"/>
  <c r="P92" i="38"/>
  <c r="J92" i="38"/>
  <c r="P91" i="38"/>
  <c r="J91" i="38"/>
  <c r="P90" i="38"/>
  <c r="J90" i="38"/>
  <c r="P79" i="38"/>
  <c r="J79" i="38"/>
  <c r="P78" i="38"/>
  <c r="J78" i="38"/>
  <c r="P77" i="38"/>
  <c r="J77" i="38"/>
  <c r="P76" i="38"/>
  <c r="J76" i="38"/>
  <c r="P75" i="38"/>
  <c r="J75" i="38"/>
  <c r="P74" i="38"/>
  <c r="J74" i="38"/>
  <c r="P73" i="38"/>
  <c r="J73" i="38"/>
  <c r="P72" i="38"/>
  <c r="J72" i="38"/>
  <c r="P71" i="38"/>
  <c r="J71" i="38"/>
  <c r="P69" i="38"/>
  <c r="J69" i="38"/>
  <c r="P68" i="38"/>
  <c r="J68" i="38"/>
  <c r="P67" i="38"/>
  <c r="J67" i="38"/>
  <c r="P66" i="38"/>
  <c r="J66" i="38"/>
  <c r="P65" i="38"/>
  <c r="J65" i="38"/>
  <c r="P64" i="38"/>
  <c r="J64" i="38"/>
  <c r="P63" i="38"/>
  <c r="J63" i="38"/>
  <c r="P62" i="38"/>
  <c r="J62" i="38"/>
  <c r="P61" i="38"/>
  <c r="J61" i="38"/>
  <c r="P60" i="38"/>
  <c r="J60" i="38"/>
  <c r="P59" i="38"/>
  <c r="J59" i="38"/>
  <c r="P57" i="38"/>
  <c r="J57" i="38"/>
  <c r="P56" i="38"/>
  <c r="J56" i="38"/>
  <c r="P55" i="38"/>
  <c r="J55" i="38"/>
  <c r="P54" i="38"/>
  <c r="J54" i="38"/>
  <c r="P52" i="38"/>
  <c r="J52" i="38"/>
  <c r="P51" i="38"/>
  <c r="J51" i="38"/>
  <c r="P49" i="38"/>
  <c r="J49" i="38"/>
  <c r="P48" i="38"/>
  <c r="J48" i="38"/>
  <c r="P46" i="38"/>
  <c r="J46" i="38"/>
  <c r="P45" i="38"/>
  <c r="J45" i="38"/>
  <c r="P43" i="38"/>
  <c r="J43" i="38"/>
  <c r="P42" i="38"/>
  <c r="J42" i="38"/>
  <c r="P41" i="38"/>
  <c r="J41" i="38"/>
  <c r="P39" i="38"/>
  <c r="J39" i="38"/>
  <c r="P38" i="38"/>
  <c r="J38" i="38"/>
  <c r="P36" i="38"/>
  <c r="J36" i="38"/>
  <c r="P34" i="38"/>
  <c r="J34" i="38"/>
  <c r="P33" i="38"/>
  <c r="J33" i="38"/>
  <c r="P32" i="38"/>
  <c r="J32" i="38"/>
  <c r="P30" i="38"/>
  <c r="J30" i="38"/>
  <c r="P29" i="38"/>
  <c r="J29" i="38"/>
  <c r="P27" i="38"/>
  <c r="J27" i="38"/>
  <c r="P26" i="38"/>
  <c r="J26" i="38"/>
  <c r="P23" i="38"/>
  <c r="J23" i="38"/>
  <c r="P21" i="38"/>
  <c r="J21" i="38"/>
  <c r="P19" i="38"/>
  <c r="J19" i="38"/>
  <c r="P18" i="38"/>
  <c r="J18" i="38"/>
  <c r="P17" i="38"/>
  <c r="J17" i="38"/>
  <c r="P15" i="38"/>
  <c r="J15" i="38"/>
  <c r="P13" i="38"/>
  <c r="J13" i="38"/>
  <c r="P12" i="38"/>
  <c r="J12" i="38"/>
  <c r="P11" i="38"/>
  <c r="J11" i="38"/>
  <c r="P9" i="38"/>
  <c r="J9" i="38"/>
  <c r="P8" i="38"/>
  <c r="J8" i="38"/>
  <c r="P7" i="38"/>
  <c r="J7" i="38"/>
  <c r="J1" i="38"/>
  <c r="AI7" i="32" l="1"/>
  <c r="I2" i="42"/>
  <c r="L2" i="42"/>
  <c r="M2" i="42"/>
  <c r="I3" i="42"/>
  <c r="L3" i="42"/>
  <c r="M3" i="42"/>
  <c r="I4" i="42"/>
  <c r="L4" i="42"/>
  <c r="M4" i="42"/>
  <c r="N4" i="42"/>
  <c r="O4" i="42"/>
  <c r="I5" i="42"/>
  <c r="J5" i="42"/>
  <c r="K5" i="42"/>
  <c r="L5" i="42"/>
  <c r="M5" i="42"/>
  <c r="I6" i="42"/>
  <c r="L6" i="42"/>
  <c r="M6" i="42"/>
  <c r="I7" i="42"/>
  <c r="L7" i="42"/>
  <c r="M7" i="42"/>
  <c r="I8" i="42"/>
  <c r="L8" i="42"/>
  <c r="M8" i="42"/>
  <c r="I9" i="42"/>
  <c r="L9" i="42"/>
  <c r="M9" i="42"/>
  <c r="I10" i="42"/>
  <c r="L10" i="42"/>
  <c r="M10" i="42"/>
  <c r="I11" i="42"/>
  <c r="L11" i="42"/>
  <c r="M11" i="42"/>
  <c r="I12" i="42"/>
  <c r="L12" i="42"/>
  <c r="M12" i="42"/>
  <c r="I13" i="42"/>
  <c r="L13" i="42"/>
  <c r="M13" i="42"/>
  <c r="I14" i="42"/>
  <c r="L14" i="42"/>
  <c r="M14" i="42"/>
  <c r="I15" i="42"/>
  <c r="L15" i="42"/>
  <c r="M15" i="42"/>
  <c r="I16" i="42"/>
  <c r="L16" i="42"/>
  <c r="M16" i="42"/>
  <c r="I17" i="42"/>
  <c r="L17" i="42"/>
  <c r="M17" i="42"/>
  <c r="I18" i="42"/>
  <c r="L18" i="42"/>
  <c r="M18" i="42"/>
  <c r="I19" i="42"/>
  <c r="L19" i="42"/>
  <c r="M19" i="42"/>
  <c r="I20" i="42"/>
  <c r="L20" i="42"/>
  <c r="M20" i="42"/>
  <c r="I21" i="42"/>
  <c r="L21" i="42"/>
  <c r="M21" i="42"/>
  <c r="I22" i="42"/>
  <c r="L22" i="42"/>
  <c r="M22" i="42"/>
  <c r="I23" i="42"/>
  <c r="L23" i="42"/>
  <c r="M23" i="42"/>
  <c r="I24" i="42"/>
  <c r="L24" i="42"/>
  <c r="M24" i="42"/>
  <c r="I25" i="42"/>
  <c r="L25" i="42"/>
  <c r="M25" i="42"/>
  <c r="I26" i="42"/>
  <c r="L26" i="42"/>
  <c r="M26" i="42"/>
  <c r="I27" i="42"/>
  <c r="L27" i="42"/>
  <c r="M27" i="42"/>
  <c r="H27" i="42"/>
  <c r="H26" i="42"/>
  <c r="H25" i="42"/>
  <c r="H23" i="42"/>
  <c r="H24" i="42"/>
  <c r="H22" i="42"/>
  <c r="H15" i="42"/>
  <c r="H16" i="42"/>
  <c r="H17" i="42"/>
  <c r="H18" i="42"/>
  <c r="H19" i="42"/>
  <c r="H20" i="42"/>
  <c r="H21" i="42"/>
  <c r="H14" i="42"/>
  <c r="H9" i="42"/>
  <c r="H10" i="42"/>
  <c r="H11" i="42"/>
  <c r="H12" i="42"/>
  <c r="H13" i="42"/>
  <c r="H8" i="42"/>
  <c r="H7" i="42"/>
  <c r="H3" i="42"/>
  <c r="H4" i="42"/>
  <c r="H5" i="42"/>
  <c r="H6" i="42"/>
  <c r="H2" i="42"/>
  <c r="K60" i="35"/>
  <c r="L60" i="35"/>
  <c r="K55" i="35"/>
  <c r="L55" i="35"/>
  <c r="K52" i="35"/>
  <c r="L52" i="35"/>
  <c r="K49" i="35"/>
  <c r="L49" i="35"/>
  <c r="K45" i="35"/>
  <c r="L45" i="35"/>
  <c r="K40" i="35"/>
  <c r="L40" i="35"/>
  <c r="K30" i="35"/>
  <c r="L30" i="35"/>
  <c r="AH40" i="32"/>
  <c r="AH38" i="32"/>
  <c r="AD38" i="32"/>
  <c r="AD40" i="32"/>
  <c r="AI34" i="32"/>
  <c r="AI8" i="32"/>
  <c r="AI9" i="32"/>
  <c r="AI10" i="32"/>
  <c r="AI11" i="32"/>
  <c r="AI12" i="32"/>
  <c r="AI13" i="32"/>
  <c r="AI14" i="32"/>
  <c r="AI15" i="32"/>
  <c r="AI16" i="32"/>
  <c r="AI17" i="32"/>
  <c r="AI18" i="32"/>
  <c r="AI19" i="32"/>
  <c r="AI20" i="32"/>
  <c r="AI21" i="32"/>
  <c r="AI22" i="32"/>
  <c r="AI23" i="32"/>
  <c r="AI24" i="32"/>
  <c r="AI25" i="32"/>
  <c r="AI26" i="32"/>
  <c r="AI27" i="32"/>
  <c r="AI28" i="32"/>
  <c r="AI29" i="32"/>
  <c r="AI30" i="32"/>
  <c r="AI31" i="32"/>
  <c r="AI32" i="32"/>
  <c r="AI33" i="32"/>
  <c r="Y14" i="32"/>
  <c r="Z14" i="32" s="1"/>
  <c r="AA14" i="32" s="1"/>
  <c r="Y15" i="32"/>
  <c r="Z15" i="32"/>
  <c r="AA15" i="32" s="1"/>
  <c r="Y16" i="32"/>
  <c r="Z16" i="32"/>
  <c r="AA16" i="32"/>
  <c r="Y17" i="32"/>
  <c r="Z17" i="32" s="1"/>
  <c r="AA17" i="32" s="1"/>
  <c r="Y18" i="32"/>
  <c r="Z18" i="32" s="1"/>
  <c r="AA18" i="32" s="1"/>
  <c r="Y19" i="32"/>
  <c r="Z19" i="32"/>
  <c r="AA19" i="32" s="1"/>
  <c r="Y20" i="32"/>
  <c r="Z20" i="32"/>
  <c r="AA20" i="32"/>
  <c r="Y21" i="32"/>
  <c r="Z21" i="32"/>
  <c r="AA21" i="32"/>
  <c r="Y22" i="32"/>
  <c r="Z22" i="32" s="1"/>
  <c r="AA22" i="32" s="1"/>
  <c r="Y23" i="32"/>
  <c r="Z23" i="32"/>
  <c r="AA23" i="32" s="1"/>
  <c r="Y24" i="32"/>
  <c r="Z24" i="32"/>
  <c r="AA24" i="32"/>
  <c r="Y25" i="32"/>
  <c r="Z25" i="32" s="1"/>
  <c r="AA25" i="32" s="1"/>
  <c r="Y26" i="32"/>
  <c r="Z26" i="32" s="1"/>
  <c r="AA26" i="32" s="1"/>
  <c r="Y27" i="32"/>
  <c r="Z27" i="32"/>
  <c r="AA27" i="32" s="1"/>
  <c r="Y28" i="32"/>
  <c r="Z28" i="32"/>
  <c r="AA28" i="32"/>
  <c r="Y29" i="32"/>
  <c r="Z29" i="32"/>
  <c r="AA29" i="32"/>
  <c r="Y30" i="32"/>
  <c r="Z30" i="32" s="1"/>
  <c r="AA30" i="32" s="1"/>
  <c r="Y31" i="32"/>
  <c r="Z31" i="32"/>
  <c r="AA31" i="32" s="1"/>
  <c r="Y32" i="32"/>
  <c r="Z32" i="32"/>
  <c r="AA32" i="32"/>
  <c r="Y33" i="32"/>
  <c r="Z33" i="32" s="1"/>
  <c r="AA33" i="32" s="1"/>
  <c r="AA13" i="32"/>
  <c r="AA34" i="32" s="1"/>
  <c r="Y13" i="32"/>
  <c r="X14" i="32"/>
  <c r="X15" i="32"/>
  <c r="X16" i="32"/>
  <c r="X17" i="32"/>
  <c r="X18" i="32"/>
  <c r="X19" i="32"/>
  <c r="X20" i="32"/>
  <c r="X21" i="32"/>
  <c r="X22" i="32"/>
  <c r="X23" i="32"/>
  <c r="X24" i="32"/>
  <c r="X25" i="32"/>
  <c r="X26" i="32"/>
  <c r="X27" i="32"/>
  <c r="X28" i="32"/>
  <c r="X29" i="32"/>
  <c r="X30" i="32"/>
  <c r="X31" i="32"/>
  <c r="X32" i="32"/>
  <c r="X33" i="32"/>
  <c r="Z13" i="32"/>
  <c r="Z34" i="32" s="1"/>
  <c r="X13" i="32"/>
  <c r="Y34" i="32"/>
  <c r="C9" i="36"/>
  <c r="C10" i="36"/>
  <c r="C11" i="36"/>
  <c r="C12" i="36"/>
  <c r="C13" i="36"/>
  <c r="C14" i="36"/>
  <c r="C15" i="36"/>
  <c r="C16" i="36"/>
  <c r="C17" i="36"/>
  <c r="C18" i="36"/>
  <c r="C19" i="36"/>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B130" i="36" s="1"/>
  <c r="C131" i="36"/>
  <c r="C132" i="36"/>
  <c r="C133" i="36"/>
  <c r="B133" i="36" s="1"/>
  <c r="C134" i="36"/>
  <c r="B134" i="36" s="1"/>
  <c r="C135" i="36"/>
  <c r="B135" i="36" s="1"/>
  <c r="C136" i="36"/>
  <c r="B136" i="36" s="1"/>
  <c r="C137" i="36"/>
  <c r="C138" i="36"/>
  <c r="B138" i="36" s="1"/>
  <c r="C139" i="36"/>
  <c r="C140" i="36"/>
  <c r="C141" i="36"/>
  <c r="C142" i="36"/>
  <c r="B142" i="36" s="1"/>
  <c r="C143" i="36"/>
  <c r="B143" i="36" s="1"/>
  <c r="C144" i="36"/>
  <c r="B144" i="36" s="1"/>
  <c r="C145" i="36"/>
  <c r="C146" i="36"/>
  <c r="B146" i="36" s="1"/>
  <c r="C147" i="36"/>
  <c r="C148" i="36"/>
  <c r="C149" i="36"/>
  <c r="C150" i="36"/>
  <c r="B150" i="36" s="1"/>
  <c r="C8" i="36"/>
  <c r="B8" i="36" s="1"/>
  <c r="B14" i="36"/>
  <c r="A9" i="36" a="1"/>
  <c r="A9" i="36" s="1"/>
  <c r="B9" i="36"/>
  <c r="A10" i="36" a="1"/>
  <c r="A10" i="36" s="1"/>
  <c r="B10" i="36"/>
  <c r="A11" i="36" a="1"/>
  <c r="A11" i="36" s="1"/>
  <c r="B11" i="36"/>
  <c r="A12" i="36" a="1"/>
  <c r="A12" i="36" s="1"/>
  <c r="B12" i="36"/>
  <c r="A13" i="36" a="1"/>
  <c r="A13" i="36" s="1"/>
  <c r="B13" i="36"/>
  <c r="A14" i="36" a="1"/>
  <c r="A14" i="36" s="1"/>
  <c r="A15" i="36" a="1"/>
  <c r="A15" i="36" s="1"/>
  <c r="B15" i="36"/>
  <c r="A16" i="36" a="1"/>
  <c r="A16" i="36" s="1"/>
  <c r="B16" i="36"/>
  <c r="A17" i="36" a="1"/>
  <c r="A17" i="36" s="1"/>
  <c r="B17" i="36"/>
  <c r="A18" i="36" a="1"/>
  <c r="A18" i="36" s="1"/>
  <c r="B18" i="36"/>
  <c r="A19" i="36" a="1"/>
  <c r="A19" i="36" s="1"/>
  <c r="B19" i="36"/>
  <c r="A20" i="36" a="1"/>
  <c r="A20" i="36" s="1"/>
  <c r="B20" i="36"/>
  <c r="A21" i="36" a="1"/>
  <c r="A21" i="36" s="1"/>
  <c r="B21" i="36"/>
  <c r="A22" i="36" a="1"/>
  <c r="A22" i="36" s="1"/>
  <c r="B22" i="36"/>
  <c r="A23" i="36" a="1"/>
  <c r="A23" i="36" s="1"/>
  <c r="B23" i="36"/>
  <c r="A24" i="36" a="1"/>
  <c r="A24" i="36" s="1"/>
  <c r="B24" i="36"/>
  <c r="A25" i="36" a="1"/>
  <c r="A25" i="36" s="1"/>
  <c r="B25" i="36"/>
  <c r="A26" i="36" a="1"/>
  <c r="A26" i="36" s="1"/>
  <c r="B26" i="36"/>
  <c r="A27" i="36" a="1"/>
  <c r="A27" i="36" s="1"/>
  <c r="B27" i="36"/>
  <c r="A28" i="36" a="1"/>
  <c r="A28" i="36" s="1"/>
  <c r="B28" i="36"/>
  <c r="A29" i="36" a="1"/>
  <c r="A29" i="36" s="1"/>
  <c r="B29" i="36"/>
  <c r="A30" i="36" a="1"/>
  <c r="A30" i="36" s="1"/>
  <c r="B30" i="36"/>
  <c r="A31" i="36" a="1"/>
  <c r="A31" i="36" s="1"/>
  <c r="B31" i="36"/>
  <c r="A32" i="36" a="1"/>
  <c r="A32" i="36" s="1"/>
  <c r="B32" i="36"/>
  <c r="A33" i="36" a="1"/>
  <c r="A33" i="36" s="1"/>
  <c r="B33" i="36"/>
  <c r="A34" i="36" a="1"/>
  <c r="A34" i="36" s="1"/>
  <c r="B34" i="36"/>
  <c r="A35" i="36" a="1"/>
  <c r="A35" i="36" s="1"/>
  <c r="T20" i="32" s="1"/>
  <c r="B35" i="36"/>
  <c r="A36" i="36" a="1"/>
  <c r="A36" i="36" s="1"/>
  <c r="B36" i="36"/>
  <c r="A37" i="36" a="1"/>
  <c r="A37" i="36" s="1"/>
  <c r="B37" i="36"/>
  <c r="A38" i="36" a="1"/>
  <c r="A38" i="36" s="1"/>
  <c r="B38" i="36"/>
  <c r="A39" i="36" a="1"/>
  <c r="A39" i="36" s="1"/>
  <c r="B39" i="36"/>
  <c r="A40" i="36" a="1"/>
  <c r="A40" i="36" s="1"/>
  <c r="B40" i="36"/>
  <c r="A41" i="36" a="1"/>
  <c r="A41" i="36" s="1"/>
  <c r="B41" i="36"/>
  <c r="A42" i="36" a="1"/>
  <c r="A42" i="36" s="1"/>
  <c r="B42" i="36"/>
  <c r="A43" i="36" a="1"/>
  <c r="A43" i="36" s="1"/>
  <c r="B43" i="36"/>
  <c r="A44" i="36" a="1"/>
  <c r="A44" i="36" s="1"/>
  <c r="B44" i="36"/>
  <c r="A45" i="36" a="1"/>
  <c r="A45" i="36" s="1"/>
  <c r="B45" i="36"/>
  <c r="A46" i="36" a="1"/>
  <c r="A46" i="36" s="1"/>
  <c r="B46" i="36"/>
  <c r="A47" i="36" a="1"/>
  <c r="A47" i="36" s="1"/>
  <c r="B47" i="36"/>
  <c r="A48" i="36" a="1"/>
  <c r="A48" i="36" s="1"/>
  <c r="B48" i="36"/>
  <c r="A49" i="36" a="1"/>
  <c r="A49" i="36" s="1"/>
  <c r="B49" i="36"/>
  <c r="A50" i="36" a="1"/>
  <c r="A50" i="36" s="1"/>
  <c r="B50" i="36"/>
  <c r="A51" i="36" a="1"/>
  <c r="A51" i="36" s="1"/>
  <c r="B51" i="36"/>
  <c r="A52" i="36" a="1"/>
  <c r="A52" i="36" s="1"/>
  <c r="B52" i="36"/>
  <c r="A53" i="36" a="1"/>
  <c r="A53" i="36" s="1"/>
  <c r="B53" i="36"/>
  <c r="A54" i="36" a="1"/>
  <c r="A54" i="36" s="1"/>
  <c r="B54" i="36"/>
  <c r="A55" i="36" a="1"/>
  <c r="A55" i="36" s="1"/>
  <c r="B55" i="36"/>
  <c r="A56" i="36" a="1"/>
  <c r="A56" i="36" s="1"/>
  <c r="B56" i="36"/>
  <c r="A57" i="36" a="1"/>
  <c r="A57" i="36" s="1"/>
  <c r="B57" i="36"/>
  <c r="A58" i="36" a="1"/>
  <c r="A58" i="36" s="1"/>
  <c r="B58" i="36"/>
  <c r="A59" i="36" a="1"/>
  <c r="A59" i="36" s="1"/>
  <c r="B59" i="36"/>
  <c r="A60" i="36" a="1"/>
  <c r="A60" i="36" s="1"/>
  <c r="B60" i="36"/>
  <c r="A61" i="36" a="1"/>
  <c r="A61" i="36" s="1"/>
  <c r="B61" i="36"/>
  <c r="A62" i="36" a="1"/>
  <c r="A62" i="36" s="1"/>
  <c r="B62" i="36"/>
  <c r="A63" i="36" a="1"/>
  <c r="A63" i="36" s="1"/>
  <c r="B63" i="36"/>
  <c r="A64" i="36" a="1"/>
  <c r="A64" i="36" s="1"/>
  <c r="B64" i="36"/>
  <c r="A65" i="36" a="1"/>
  <c r="A65" i="36" s="1"/>
  <c r="B65" i="36"/>
  <c r="A66" i="36" a="1"/>
  <c r="A66" i="36" s="1"/>
  <c r="B66" i="36"/>
  <c r="A67" i="36" a="1"/>
  <c r="A67" i="36" s="1"/>
  <c r="B67" i="36"/>
  <c r="A68" i="36" a="1"/>
  <c r="A68" i="36" s="1"/>
  <c r="B68" i="36"/>
  <c r="A69" i="36" a="1"/>
  <c r="A69" i="36" s="1"/>
  <c r="B69" i="36"/>
  <c r="A70" i="36" a="1"/>
  <c r="A70" i="36" s="1"/>
  <c r="B70" i="36"/>
  <c r="A71" i="36" a="1"/>
  <c r="A71" i="36" s="1"/>
  <c r="B71" i="36"/>
  <c r="A72" i="36" a="1"/>
  <c r="A72" i="36" s="1"/>
  <c r="B72" i="36"/>
  <c r="A73" i="36" a="1"/>
  <c r="A73" i="36" s="1"/>
  <c r="B73" i="36"/>
  <c r="A74" i="36" a="1"/>
  <c r="A74" i="36" s="1"/>
  <c r="B74" i="36"/>
  <c r="A75" i="36" a="1"/>
  <c r="A75" i="36" s="1"/>
  <c r="B75" i="36"/>
  <c r="A76" i="36" a="1"/>
  <c r="A76" i="36" s="1"/>
  <c r="B76" i="36"/>
  <c r="A77" i="36" a="1"/>
  <c r="A77" i="36" s="1"/>
  <c r="B77" i="36"/>
  <c r="A78" i="36" a="1"/>
  <c r="A78" i="36" s="1"/>
  <c r="B78" i="36"/>
  <c r="A79" i="36" a="1"/>
  <c r="A79" i="36" s="1"/>
  <c r="B79" i="36"/>
  <c r="A80" i="36" a="1"/>
  <c r="A80" i="36" s="1"/>
  <c r="B80" i="36"/>
  <c r="A81" i="36" a="1"/>
  <c r="A81" i="36" s="1"/>
  <c r="B81" i="36"/>
  <c r="A82" i="36" a="1"/>
  <c r="A82" i="36" s="1"/>
  <c r="B82" i="36"/>
  <c r="A83" i="36" a="1"/>
  <c r="A83" i="36" s="1"/>
  <c r="B83" i="36"/>
  <c r="A84" i="36" a="1"/>
  <c r="A84" i="36" s="1"/>
  <c r="B84" i="36"/>
  <c r="A85" i="36" a="1"/>
  <c r="A85" i="36" s="1"/>
  <c r="B85" i="36"/>
  <c r="A86" i="36" a="1"/>
  <c r="A86" i="36" s="1"/>
  <c r="B86" i="36"/>
  <c r="A87" i="36" a="1"/>
  <c r="A87" i="36" s="1"/>
  <c r="B87" i="36"/>
  <c r="A88" i="36" a="1"/>
  <c r="A88" i="36" s="1"/>
  <c r="B88" i="36"/>
  <c r="A89" i="36" a="1"/>
  <c r="A89" i="36" s="1"/>
  <c r="B89" i="36"/>
  <c r="A90" i="36" a="1"/>
  <c r="A90" i="36" s="1"/>
  <c r="B90" i="36"/>
  <c r="A91" i="36" a="1"/>
  <c r="A91" i="36" s="1"/>
  <c r="B91" i="36"/>
  <c r="A92" i="36" a="1"/>
  <c r="A92" i="36" s="1"/>
  <c r="B92" i="36"/>
  <c r="A93" i="36" a="1"/>
  <c r="A93" i="36" s="1"/>
  <c r="B93" i="36"/>
  <c r="A94" i="36" a="1"/>
  <c r="A94" i="36" s="1"/>
  <c r="B94" i="36"/>
  <c r="A95" i="36" a="1"/>
  <c r="A95" i="36" s="1"/>
  <c r="B95" i="36"/>
  <c r="A96" i="36" a="1"/>
  <c r="A96" i="36" s="1"/>
  <c r="B96" i="36"/>
  <c r="A97" i="36" a="1"/>
  <c r="A97" i="36" s="1"/>
  <c r="B97" i="36"/>
  <c r="A98" i="36" a="1"/>
  <c r="A98" i="36" s="1"/>
  <c r="B98" i="36"/>
  <c r="A99" i="36" a="1"/>
  <c r="A99" i="36" s="1"/>
  <c r="B99" i="36"/>
  <c r="A100" i="36" a="1"/>
  <c r="A100" i="36" s="1"/>
  <c r="B100" i="36"/>
  <c r="A101" i="36" a="1"/>
  <c r="A101" i="36" s="1"/>
  <c r="B101" i="36"/>
  <c r="A102" i="36" a="1"/>
  <c r="A102" i="36" s="1"/>
  <c r="B102" i="36"/>
  <c r="A103" i="36" a="1"/>
  <c r="A103" i="36" s="1"/>
  <c r="B103" i="36"/>
  <c r="A104" i="36" a="1"/>
  <c r="A104" i="36" s="1"/>
  <c r="B104" i="36"/>
  <c r="A105" i="36" a="1"/>
  <c r="A105" i="36" s="1"/>
  <c r="B105" i="36"/>
  <c r="A106" i="36" a="1"/>
  <c r="A106" i="36" s="1"/>
  <c r="B106" i="36"/>
  <c r="A107" i="36" a="1"/>
  <c r="A107" i="36" s="1"/>
  <c r="B107" i="36"/>
  <c r="A108" i="36" a="1"/>
  <c r="A108" i="36" s="1"/>
  <c r="B108" i="36"/>
  <c r="A109" i="36" a="1"/>
  <c r="A109" i="36" s="1"/>
  <c r="B109" i="36"/>
  <c r="A110" i="36" a="1"/>
  <c r="A110" i="36" s="1"/>
  <c r="B110" i="36"/>
  <c r="A111" i="36" a="1"/>
  <c r="A111" i="36" s="1"/>
  <c r="B111" i="36"/>
  <c r="A112" i="36" a="1"/>
  <c r="A112" i="36" s="1"/>
  <c r="B112" i="36"/>
  <c r="A113" i="36" a="1"/>
  <c r="A113" i="36" s="1"/>
  <c r="B113" i="36"/>
  <c r="A114" i="36" a="1"/>
  <c r="A114" i="36" s="1"/>
  <c r="B114" i="36"/>
  <c r="A115" i="36" a="1"/>
  <c r="A115" i="36" s="1"/>
  <c r="B115" i="36"/>
  <c r="A116" i="36" a="1"/>
  <c r="A116" i="36" s="1"/>
  <c r="B116" i="36"/>
  <c r="A117" i="36" a="1"/>
  <c r="A117" i="36" s="1"/>
  <c r="B117" i="36"/>
  <c r="A118" i="36" a="1"/>
  <c r="A118" i="36" s="1"/>
  <c r="B118" i="36"/>
  <c r="A119" i="36" a="1"/>
  <c r="A119" i="36" s="1"/>
  <c r="B119" i="36"/>
  <c r="A120" i="36" a="1"/>
  <c r="A120" i="36" s="1"/>
  <c r="B120" i="36"/>
  <c r="A121" i="36" a="1"/>
  <c r="A121" i="36" s="1"/>
  <c r="B121" i="36"/>
  <c r="A122" i="36" a="1"/>
  <c r="A122" i="36" s="1"/>
  <c r="B122" i="36"/>
  <c r="A123" i="36" a="1"/>
  <c r="A123" i="36" s="1"/>
  <c r="B123" i="36"/>
  <c r="A124" i="36" a="1"/>
  <c r="A124" i="36" s="1"/>
  <c r="B124" i="36"/>
  <c r="A125" i="36" a="1"/>
  <c r="A125" i="36" s="1"/>
  <c r="B125" i="36"/>
  <c r="A126" i="36" a="1"/>
  <c r="A126" i="36" s="1"/>
  <c r="B126" i="36"/>
  <c r="A127" i="36" a="1"/>
  <c r="A127" i="36" s="1"/>
  <c r="B127" i="36"/>
  <c r="A128" i="36" a="1"/>
  <c r="A128" i="36" s="1"/>
  <c r="B128" i="36"/>
  <c r="A129" i="36" a="1"/>
  <c r="A129" i="36" s="1"/>
  <c r="B129" i="36"/>
  <c r="A130" i="36" a="1"/>
  <c r="A130" i="36" s="1"/>
  <c r="A131" i="36" a="1"/>
  <c r="A131" i="36" s="1"/>
  <c r="B131" i="36"/>
  <c r="A132" i="36" a="1"/>
  <c r="A132" i="36" s="1"/>
  <c r="B132" i="36"/>
  <c r="A133" i="36" a="1"/>
  <c r="A133" i="36" s="1"/>
  <c r="A134" i="36" a="1"/>
  <c r="A134" i="36" s="1"/>
  <c r="A135" i="36" a="1"/>
  <c r="A135" i="36" s="1"/>
  <c r="A136" i="36" a="1"/>
  <c r="A136" i="36" s="1"/>
  <c r="A137" i="36" a="1"/>
  <c r="A137" i="36" s="1"/>
  <c r="B137" i="36"/>
  <c r="A138" i="36" a="1"/>
  <c r="A138" i="36" s="1"/>
  <c r="A139" i="36" a="1"/>
  <c r="A139" i="36" s="1"/>
  <c r="B139" i="36"/>
  <c r="A140" i="36" a="1"/>
  <c r="A140" i="36" s="1"/>
  <c r="B140" i="36"/>
  <c r="A141" i="36" a="1"/>
  <c r="A141" i="36" s="1"/>
  <c r="B141" i="36"/>
  <c r="A142" i="36" a="1"/>
  <c r="A142" i="36" s="1"/>
  <c r="A143" i="36" a="1"/>
  <c r="A143" i="36" s="1"/>
  <c r="A144" i="36" a="1"/>
  <c r="A144" i="36" s="1"/>
  <c r="A145" i="36" a="1"/>
  <c r="A145" i="36" s="1"/>
  <c r="B145" i="36"/>
  <c r="A146" i="36" a="1"/>
  <c r="A146" i="36" s="1"/>
  <c r="A147" i="36" a="1"/>
  <c r="A147" i="36" s="1"/>
  <c r="B147" i="36"/>
  <c r="A148" i="36" a="1"/>
  <c r="A148" i="36" s="1"/>
  <c r="B148" i="36"/>
  <c r="A149" i="36" a="1"/>
  <c r="A149" i="36" s="1"/>
  <c r="B149" i="36"/>
  <c r="A150" i="36" a="1"/>
  <c r="A150" i="36"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6" i="39" a="1"/>
  <c r="A56" i="39" s="1"/>
  <c r="A57" i="39" a="1"/>
  <c r="A57" i="39" s="1"/>
  <c r="A58" i="39" a="1"/>
  <c r="A58" i="39" s="1"/>
  <c r="A59" i="39" a="1"/>
  <c r="A59" i="39" s="1"/>
  <c r="A60" i="39" a="1"/>
  <c r="A60" i="39" s="1"/>
  <c r="A61" i="39" a="1"/>
  <c r="A61" i="39" s="1"/>
  <c r="A62" i="39" a="1"/>
  <c r="A62" i="39" s="1"/>
  <c r="A63" i="39" a="1"/>
  <c r="A63" i="39" s="1"/>
  <c r="A64" i="39" a="1"/>
  <c r="A64" i="39" s="1"/>
  <c r="A65" i="39" a="1"/>
  <c r="A65" i="39" s="1"/>
  <c r="A66" i="39" a="1"/>
  <c r="A66" i="39" s="1"/>
  <c r="A67" i="39" a="1"/>
  <c r="A67" i="39" s="1"/>
  <c r="A68" i="39" a="1"/>
  <c r="A68" i="39" s="1"/>
  <c r="A69" i="39" a="1"/>
  <c r="A69" i="39" s="1"/>
  <c r="A70" i="39" a="1"/>
  <c r="A70" i="39" s="1"/>
  <c r="A71" i="39" a="1"/>
  <c r="A71" i="39" s="1"/>
  <c r="A72" i="39" a="1"/>
  <c r="A72" i="39" s="1"/>
  <c r="A73" i="39" a="1"/>
  <c r="A73" i="39" s="1"/>
  <c r="A74" i="39" a="1"/>
  <c r="A74" i="39" s="1"/>
  <c r="A75" i="39" a="1"/>
  <c r="A75" i="39" s="1"/>
  <c r="A76" i="39" a="1"/>
  <c r="A76" i="39" s="1"/>
  <c r="A77" i="39" a="1"/>
  <c r="A77" i="39" s="1"/>
  <c r="A78" i="39" a="1"/>
  <c r="A78" i="39" s="1"/>
  <c r="G8" i="39"/>
  <c r="G9" i="39"/>
  <c r="G10" i="39"/>
  <c r="G11" i="39"/>
  <c r="G12" i="39"/>
  <c r="G13" i="39"/>
  <c r="Z13" i="39" s="1"/>
  <c r="G14" i="39"/>
  <c r="G15" i="39"/>
  <c r="Z15" i="39" s="1"/>
  <c r="G16" i="39"/>
  <c r="G17" i="39"/>
  <c r="G18" i="39"/>
  <c r="G19" i="39"/>
  <c r="G20" i="39"/>
  <c r="G21" i="39"/>
  <c r="G22" i="39"/>
  <c r="G23" i="39"/>
  <c r="G24" i="39"/>
  <c r="G25" i="39"/>
  <c r="G26" i="39"/>
  <c r="G27" i="39"/>
  <c r="G28" i="39"/>
  <c r="G29" i="39"/>
  <c r="G30" i="39"/>
  <c r="G31" i="39"/>
  <c r="Z31" i="39" s="1"/>
  <c r="G32" i="39"/>
  <c r="G33" i="39"/>
  <c r="G34" i="39"/>
  <c r="G35" i="39"/>
  <c r="G36" i="39"/>
  <c r="G37" i="39"/>
  <c r="Z37" i="39" s="1"/>
  <c r="G38" i="39"/>
  <c r="Z38" i="39" s="1"/>
  <c r="G39" i="39"/>
  <c r="G40" i="39"/>
  <c r="G41" i="39"/>
  <c r="G42" i="39"/>
  <c r="G43" i="39"/>
  <c r="G44" i="39"/>
  <c r="Z44" i="39" s="1"/>
  <c r="G45" i="39"/>
  <c r="G46" i="39"/>
  <c r="Z46" i="39" s="1"/>
  <c r="G47" i="39"/>
  <c r="Z47" i="39" s="1"/>
  <c r="G48" i="39"/>
  <c r="G49" i="39"/>
  <c r="G50" i="39"/>
  <c r="G51" i="39"/>
  <c r="G52" i="39"/>
  <c r="Z52" i="39" s="1"/>
  <c r="G53" i="39"/>
  <c r="Z53" i="39" s="1"/>
  <c r="G54" i="39"/>
  <c r="G55" i="39"/>
  <c r="Z55" i="39" s="1"/>
  <c r="G56" i="39"/>
  <c r="G57" i="39"/>
  <c r="G58" i="39"/>
  <c r="G59" i="39"/>
  <c r="G60" i="39"/>
  <c r="Z60" i="39" s="1"/>
  <c r="G61" i="39"/>
  <c r="G62" i="39"/>
  <c r="G63" i="39"/>
  <c r="Z63" i="39" s="1"/>
  <c r="G64" i="39"/>
  <c r="G65" i="39"/>
  <c r="G66" i="39"/>
  <c r="G67" i="39"/>
  <c r="G68" i="39"/>
  <c r="G69" i="39"/>
  <c r="G70" i="39"/>
  <c r="Z70" i="39" s="1"/>
  <c r="G71" i="39"/>
  <c r="G72" i="39"/>
  <c r="G73" i="39"/>
  <c r="G74" i="39"/>
  <c r="G75" i="39"/>
  <c r="G76" i="39"/>
  <c r="G77" i="39"/>
  <c r="G78" i="39"/>
  <c r="U76" i="39"/>
  <c r="K76" i="39"/>
  <c r="Y75" i="39"/>
  <c r="X75" i="39"/>
  <c r="W75" i="39"/>
  <c r="V75" i="39"/>
  <c r="U75" i="39"/>
  <c r="T75" i="39"/>
  <c r="S75" i="39"/>
  <c r="R75" i="39"/>
  <c r="Q75" i="39"/>
  <c r="P75" i="39"/>
  <c r="N75" i="39"/>
  <c r="M75" i="39"/>
  <c r="L75" i="39"/>
  <c r="K75" i="39"/>
  <c r="J75" i="39"/>
  <c r="I75" i="39"/>
  <c r="O75" i="39" s="1"/>
  <c r="H75" i="39"/>
  <c r="Y74" i="39"/>
  <c r="V74" i="39"/>
  <c r="O74" i="39"/>
  <c r="Z74" i="39" s="1"/>
  <c r="I74" i="39"/>
  <c r="Z73" i="39"/>
  <c r="Y73" i="39"/>
  <c r="V73" i="39"/>
  <c r="O73" i="39"/>
  <c r="X72" i="39"/>
  <c r="Y72" i="39" s="1"/>
  <c r="W72" i="39"/>
  <c r="V72" i="39"/>
  <c r="U72" i="39"/>
  <c r="T72" i="39"/>
  <c r="S72" i="39"/>
  <c r="R72" i="39"/>
  <c r="Q72" i="39"/>
  <c r="P72" i="39"/>
  <c r="O72" i="39"/>
  <c r="N72" i="39"/>
  <c r="M72" i="39"/>
  <c r="L72" i="39"/>
  <c r="K72" i="39"/>
  <c r="J72" i="39"/>
  <c r="I72" i="39"/>
  <c r="H72" i="39"/>
  <c r="Z72" i="39"/>
  <c r="Y71" i="39"/>
  <c r="X71" i="39"/>
  <c r="V71" i="39"/>
  <c r="O71" i="39"/>
  <c r="Y70" i="39"/>
  <c r="V70" i="39"/>
  <c r="O70" i="39"/>
  <c r="Y69" i="39"/>
  <c r="X69" i="39"/>
  <c r="W69" i="39"/>
  <c r="V69" i="39"/>
  <c r="U69" i="39"/>
  <c r="T69" i="39"/>
  <c r="S69" i="39"/>
  <c r="R69" i="39"/>
  <c r="Q69" i="39"/>
  <c r="P69" i="39"/>
  <c r="O69" i="39"/>
  <c r="N69" i="39"/>
  <c r="M69" i="39"/>
  <c r="L69" i="39"/>
  <c r="K69" i="39"/>
  <c r="J69" i="39"/>
  <c r="I69" i="39"/>
  <c r="H69" i="39"/>
  <c r="Z68" i="39"/>
  <c r="Y68" i="39"/>
  <c r="X68" i="39"/>
  <c r="V68" i="39"/>
  <c r="O68" i="39"/>
  <c r="Z67" i="39"/>
  <c r="Y67" i="39"/>
  <c r="V67" i="39"/>
  <c r="O67" i="39"/>
  <c r="X66" i="39"/>
  <c r="X76" i="39" s="1"/>
  <c r="W66" i="39"/>
  <c r="Y66" i="39" s="1"/>
  <c r="U66" i="39"/>
  <c r="T66" i="39"/>
  <c r="T76" i="39" s="1"/>
  <c r="R66" i="39"/>
  <c r="Q66" i="39"/>
  <c r="P66" i="39"/>
  <c r="P76" i="39" s="1"/>
  <c r="N66" i="39"/>
  <c r="M66" i="39"/>
  <c r="L66" i="39"/>
  <c r="L76" i="39" s="1"/>
  <c r="K66" i="39"/>
  <c r="J66" i="39"/>
  <c r="J76" i="39" s="1"/>
  <c r="H66" i="39"/>
  <c r="H76" i="39" s="1"/>
  <c r="Y65" i="39"/>
  <c r="X65" i="39"/>
  <c r="W65" i="39"/>
  <c r="V65" i="39"/>
  <c r="U65" i="39"/>
  <c r="T65" i="39"/>
  <c r="S65" i="39"/>
  <c r="R65" i="39"/>
  <c r="Q65" i="39"/>
  <c r="P65" i="39"/>
  <c r="O65" i="39"/>
  <c r="N65" i="39"/>
  <c r="M65" i="39"/>
  <c r="L65" i="39"/>
  <c r="K65" i="39"/>
  <c r="J65" i="39"/>
  <c r="I65" i="39"/>
  <c r="H65" i="39"/>
  <c r="Z65" i="39"/>
  <c r="Z64" i="39"/>
  <c r="Y64" i="39"/>
  <c r="V64" i="39"/>
  <c r="O64" i="39"/>
  <c r="Y63" i="39"/>
  <c r="V63" i="39"/>
  <c r="O63" i="39"/>
  <c r="Z62" i="39"/>
  <c r="Y62" i="39"/>
  <c r="V62" i="39"/>
  <c r="O62" i="39"/>
  <c r="Y61" i="39"/>
  <c r="X61" i="39"/>
  <c r="W61" i="39"/>
  <c r="V61" i="39"/>
  <c r="U61" i="39"/>
  <c r="T61" i="39"/>
  <c r="S61" i="39"/>
  <c r="R61" i="39"/>
  <c r="Q61" i="39"/>
  <c r="P61" i="39"/>
  <c r="O61" i="39"/>
  <c r="N61" i="39"/>
  <c r="M61" i="39"/>
  <c r="L61" i="39"/>
  <c r="K61" i="39"/>
  <c r="J61" i="39"/>
  <c r="I61" i="39"/>
  <c r="H61" i="39"/>
  <c r="Z61" i="39"/>
  <c r="Y60" i="39"/>
  <c r="V60" i="39"/>
  <c r="O60" i="39"/>
  <c r="Y59" i="39"/>
  <c r="V59" i="39"/>
  <c r="O59" i="39"/>
  <c r="Z59" i="39"/>
  <c r="Z58" i="39"/>
  <c r="Y58" i="39"/>
  <c r="V58" i="39"/>
  <c r="O58" i="39"/>
  <c r="I58" i="39"/>
  <c r="Z57" i="39"/>
  <c r="Y57" i="39"/>
  <c r="V57" i="39"/>
  <c r="O57" i="39"/>
  <c r="Z56" i="39"/>
  <c r="Y56" i="39"/>
  <c r="V56" i="39"/>
  <c r="O56" i="39"/>
  <c r="Y55" i="39"/>
  <c r="V55" i="39"/>
  <c r="O55" i="39"/>
  <c r="Z54" i="39"/>
  <c r="Y54" i="39"/>
  <c r="V54" i="39"/>
  <c r="O54" i="39"/>
  <c r="Y53" i="39"/>
  <c r="V53" i="39"/>
  <c r="S53" i="39"/>
  <c r="O53" i="39"/>
  <c r="I53" i="39"/>
  <c r="Y52" i="39"/>
  <c r="V52" i="39"/>
  <c r="O52" i="39"/>
  <c r="Y51" i="39"/>
  <c r="X51" i="39"/>
  <c r="W51" i="39"/>
  <c r="V51" i="39"/>
  <c r="U51" i="39"/>
  <c r="T51" i="39"/>
  <c r="S51" i="39"/>
  <c r="R51" i="39"/>
  <c r="Q51" i="39"/>
  <c r="P51" i="39"/>
  <c r="O51" i="39"/>
  <c r="N51" i="39"/>
  <c r="M51" i="39"/>
  <c r="L51" i="39"/>
  <c r="K51" i="39"/>
  <c r="J51" i="39"/>
  <c r="I51" i="39"/>
  <c r="H51" i="39"/>
  <c r="Z51" i="39"/>
  <c r="Y50" i="39"/>
  <c r="V50" i="39"/>
  <c r="O50" i="39"/>
  <c r="Z50" i="39"/>
  <c r="Y49" i="39"/>
  <c r="V49" i="39"/>
  <c r="O49" i="39"/>
  <c r="Z49" i="39"/>
  <c r="Z48" i="39"/>
  <c r="Y48" i="39"/>
  <c r="V48" i="39"/>
  <c r="O48" i="39"/>
  <c r="I48" i="39"/>
  <c r="Y47" i="39"/>
  <c r="V47" i="39"/>
  <c r="O47" i="39"/>
  <c r="Y46" i="39"/>
  <c r="V46" i="39"/>
  <c r="O46" i="39"/>
  <c r="Z45" i="39"/>
  <c r="Y45" i="39"/>
  <c r="V45" i="39"/>
  <c r="O45" i="39"/>
  <c r="Y44" i="39"/>
  <c r="V44" i="39"/>
  <c r="O44" i="39"/>
  <c r="Z43" i="39"/>
  <c r="Y43" i="39"/>
  <c r="V43" i="39"/>
  <c r="S43" i="39"/>
  <c r="O43" i="39"/>
  <c r="I43" i="39"/>
  <c r="Z42" i="39"/>
  <c r="Y42" i="39"/>
  <c r="V42" i="39"/>
  <c r="O42" i="39"/>
  <c r="Y41" i="39"/>
  <c r="X41" i="39"/>
  <c r="W41" i="39"/>
  <c r="V41" i="39"/>
  <c r="U41" i="39"/>
  <c r="T41" i="39"/>
  <c r="S41" i="39"/>
  <c r="S66" i="39" s="1"/>
  <c r="R41" i="39"/>
  <c r="Q41" i="39"/>
  <c r="P41" i="39"/>
  <c r="O41" i="39"/>
  <c r="N41" i="39"/>
  <c r="M41" i="39"/>
  <c r="L41" i="39"/>
  <c r="K41" i="39"/>
  <c r="J41" i="39"/>
  <c r="I41" i="39"/>
  <c r="I66" i="39" s="1"/>
  <c r="O66" i="39" s="1"/>
  <c r="H41" i="39"/>
  <c r="Z41" i="39"/>
  <c r="Z40" i="39"/>
  <c r="Y40" i="39"/>
  <c r="V40" i="39"/>
  <c r="O40" i="39"/>
  <c r="I40" i="39"/>
  <c r="Y39" i="39"/>
  <c r="V39" i="39"/>
  <c r="S39" i="39"/>
  <c r="O39" i="39"/>
  <c r="I39" i="39"/>
  <c r="Y38" i="39"/>
  <c r="V38" i="39"/>
  <c r="O38" i="39"/>
  <c r="Y37" i="39"/>
  <c r="V37" i="39"/>
  <c r="O37" i="39"/>
  <c r="Y36" i="39"/>
  <c r="X36" i="39"/>
  <c r="W36" i="39"/>
  <c r="V36" i="39"/>
  <c r="U36" i="39"/>
  <c r="T36" i="39"/>
  <c r="S36" i="39"/>
  <c r="R36" i="39"/>
  <c r="R76" i="39" s="1"/>
  <c r="Q36" i="39"/>
  <c r="Q76" i="39" s="1"/>
  <c r="P36" i="39"/>
  <c r="N36" i="39"/>
  <c r="N76" i="39" s="1"/>
  <c r="M36" i="39"/>
  <c r="M76" i="39" s="1"/>
  <c r="L36" i="39"/>
  <c r="K36" i="39"/>
  <c r="J36" i="39"/>
  <c r="I36" i="39"/>
  <c r="I76" i="39" s="1"/>
  <c r="H36" i="39"/>
  <c r="Z35" i="39"/>
  <c r="Y35" i="39"/>
  <c r="V35" i="39"/>
  <c r="O35" i="39"/>
  <c r="Z34" i="39"/>
  <c r="Y34" i="39"/>
  <c r="V34" i="39"/>
  <c r="T34" i="39"/>
  <c r="S34" i="39"/>
  <c r="O34" i="39"/>
  <c r="Z33" i="39"/>
  <c r="Y33" i="39"/>
  <c r="V33" i="39"/>
  <c r="R33" i="39"/>
  <c r="O33" i="39"/>
  <c r="I33" i="39"/>
  <c r="Z32" i="39"/>
  <c r="Y32" i="39"/>
  <c r="V32" i="39"/>
  <c r="T32" i="39"/>
  <c r="O32" i="39"/>
  <c r="Y31" i="39"/>
  <c r="V31" i="39"/>
  <c r="T31" i="39"/>
  <c r="O31" i="39"/>
  <c r="Z30" i="39"/>
  <c r="Y30" i="39"/>
  <c r="V30" i="39"/>
  <c r="R30" i="39"/>
  <c r="Q30" i="39"/>
  <c r="O30" i="39"/>
  <c r="M30" i="39"/>
  <c r="Y29" i="39"/>
  <c r="V29" i="39"/>
  <c r="U29" i="39"/>
  <c r="T29" i="39"/>
  <c r="S29" i="39"/>
  <c r="R29" i="39"/>
  <c r="Q29" i="39"/>
  <c r="O29" i="39"/>
  <c r="Z29" i="39" s="1"/>
  <c r="N29" i="39"/>
  <c r="I29" i="39"/>
  <c r="Y28" i="39"/>
  <c r="V28" i="39"/>
  <c r="T28" i="39"/>
  <c r="S28" i="39"/>
  <c r="O28" i="39"/>
  <c r="Z28" i="39"/>
  <c r="Z27" i="39"/>
  <c r="Y27" i="39"/>
  <c r="V27" i="39"/>
  <c r="Q27" i="39"/>
  <c r="O27" i="39"/>
  <c r="Z26" i="39"/>
  <c r="Y26" i="39"/>
  <c r="V26" i="39"/>
  <c r="O26" i="39"/>
  <c r="Z25" i="39"/>
  <c r="Y25" i="39"/>
  <c r="V25" i="39"/>
  <c r="O25" i="39"/>
  <c r="Z24" i="39"/>
  <c r="Y24" i="39"/>
  <c r="V24" i="39"/>
  <c r="O24" i="39"/>
  <c r="Z23" i="39"/>
  <c r="Y23" i="39"/>
  <c r="V23" i="39"/>
  <c r="O23" i="39"/>
  <c r="W20" i="39"/>
  <c r="W21" i="39" s="1"/>
  <c r="U20" i="39"/>
  <c r="U21" i="39" s="1"/>
  <c r="U77" i="39" s="1"/>
  <c r="U78" i="39" s="1"/>
  <c r="P20" i="39"/>
  <c r="P21" i="39" s="1"/>
  <c r="N20" i="39"/>
  <c r="N21" i="39" s="1"/>
  <c r="N77" i="39" s="1"/>
  <c r="N78" i="39" s="1"/>
  <c r="M20" i="39"/>
  <c r="M21" i="39" s="1"/>
  <c r="M77" i="39" s="1"/>
  <c r="M78" i="39" s="1"/>
  <c r="K20" i="39"/>
  <c r="K21" i="39" s="1"/>
  <c r="K77" i="39" s="1"/>
  <c r="K78" i="39" s="1"/>
  <c r="H20" i="39"/>
  <c r="H21" i="39" s="1"/>
  <c r="Y19" i="39"/>
  <c r="X19" i="39"/>
  <c r="X20" i="39" s="1"/>
  <c r="W19" i="39"/>
  <c r="U19" i="39"/>
  <c r="T19" i="39"/>
  <c r="T20" i="39" s="1"/>
  <c r="T21" i="39" s="1"/>
  <c r="T77" i="39" s="1"/>
  <c r="T78" i="39" s="1"/>
  <c r="S19" i="39"/>
  <c r="V19" i="39" s="1"/>
  <c r="R19" i="39"/>
  <c r="R20" i="39" s="1"/>
  <c r="R21" i="39" s="1"/>
  <c r="Q19" i="39"/>
  <c r="Q20" i="39" s="1"/>
  <c r="P19" i="39"/>
  <c r="N19" i="39"/>
  <c r="M19" i="39"/>
  <c r="L19" i="39"/>
  <c r="L20" i="39" s="1"/>
  <c r="L21" i="39" s="1"/>
  <c r="K19" i="39"/>
  <c r="J19" i="39"/>
  <c r="J20" i="39" s="1"/>
  <c r="J21" i="39" s="1"/>
  <c r="J77" i="39" s="1"/>
  <c r="J78" i="39" s="1"/>
  <c r="I19" i="39"/>
  <c r="I20" i="39" s="1"/>
  <c r="H19" i="39"/>
  <c r="Y18" i="39"/>
  <c r="V18" i="39"/>
  <c r="Q18" i="39"/>
  <c r="O18" i="39"/>
  <c r="Z18" i="39" s="1"/>
  <c r="L18" i="39"/>
  <c r="K18" i="39"/>
  <c r="J18" i="39"/>
  <c r="I18" i="39"/>
  <c r="Y17" i="39"/>
  <c r="V17" i="39"/>
  <c r="Z17" i="39" s="1"/>
  <c r="R17" i="39"/>
  <c r="O17" i="39"/>
  <c r="Z16" i="39"/>
  <c r="Y16" i="39"/>
  <c r="V16" i="39"/>
  <c r="T16" i="39"/>
  <c r="O16" i="39"/>
  <c r="Y15" i="39"/>
  <c r="V15" i="39"/>
  <c r="U15" i="39"/>
  <c r="O15" i="39"/>
  <c r="Y14" i="39"/>
  <c r="V14" i="39"/>
  <c r="S14" i="39"/>
  <c r="O14" i="39"/>
  <c r="Y13" i="39"/>
  <c r="V13" i="39"/>
  <c r="O13" i="39"/>
  <c r="N13" i="39"/>
  <c r="Y12" i="39"/>
  <c r="V12" i="39"/>
  <c r="O12" i="39"/>
  <c r="M12" i="39"/>
  <c r="Z11" i="39"/>
  <c r="Y11" i="39"/>
  <c r="X11" i="39"/>
  <c r="V11" i="39"/>
  <c r="O11" i="39"/>
  <c r="Z10" i="39"/>
  <c r="Y10" i="39"/>
  <c r="V10" i="39"/>
  <c r="O10" i="39"/>
  <c r="Y9" i="39"/>
  <c r="X9" i="39"/>
  <c r="W9" i="39"/>
  <c r="V9" i="39"/>
  <c r="U9" i="39"/>
  <c r="T9" i="39"/>
  <c r="S9" i="39"/>
  <c r="R9" i="39"/>
  <c r="Q9" i="39"/>
  <c r="P9" i="39"/>
  <c r="O9" i="39"/>
  <c r="N9" i="39"/>
  <c r="M9" i="39"/>
  <c r="L9" i="39"/>
  <c r="K9" i="39"/>
  <c r="J9" i="39"/>
  <c r="I9" i="39"/>
  <c r="H9" i="39"/>
  <c r="Z9" i="39"/>
  <c r="Y8" i="39"/>
  <c r="V8" i="39"/>
  <c r="O8" i="39"/>
  <c r="Z8" i="39"/>
  <c r="Z7" i="39"/>
  <c r="Y7" i="39"/>
  <c r="V7" i="39"/>
  <c r="O7" i="39"/>
  <c r="G7" i="39"/>
  <c r="E147" i="36"/>
  <c r="E146" i="36"/>
  <c r="E145" i="36"/>
  <c r="E143" i="36"/>
  <c r="E142" i="36"/>
  <c r="E141" i="36"/>
  <c r="E139" i="36"/>
  <c r="E138" i="36"/>
  <c r="E137" i="36"/>
  <c r="E136" i="36"/>
  <c r="E135" i="36"/>
  <c r="E134" i="36"/>
  <c r="E133" i="36"/>
  <c r="E132" i="36"/>
  <c r="E131" i="36"/>
  <c r="E129" i="36"/>
  <c r="E128" i="36"/>
  <c r="E127" i="36"/>
  <c r="E126" i="36"/>
  <c r="E125" i="36"/>
  <c r="E124" i="36"/>
  <c r="E123" i="36"/>
  <c r="E122" i="36"/>
  <c r="E121" i="36"/>
  <c r="E119" i="36"/>
  <c r="E118" i="36"/>
  <c r="E117" i="36"/>
  <c r="E116" i="36"/>
  <c r="E115" i="36"/>
  <c r="E114" i="36"/>
  <c r="E113" i="36"/>
  <c r="E112" i="36"/>
  <c r="E111" i="36"/>
  <c r="E110" i="36"/>
  <c r="E108" i="36"/>
  <c r="E107" i="36"/>
  <c r="E106" i="36"/>
  <c r="E105" i="36"/>
  <c r="E104" i="36"/>
  <c r="E103" i="36"/>
  <c r="E102" i="36"/>
  <c r="E101" i="36"/>
  <c r="E100" i="36"/>
  <c r="E99" i="36"/>
  <c r="E98" i="36"/>
  <c r="E97" i="36"/>
  <c r="E96" i="36"/>
  <c r="E95" i="36"/>
  <c r="E94" i="36"/>
  <c r="E91" i="36"/>
  <c r="E90" i="36"/>
  <c r="E88" i="36"/>
  <c r="E87" i="36"/>
  <c r="E85" i="36"/>
  <c r="E84" i="36"/>
  <c r="E83" i="36"/>
  <c r="E81" i="36"/>
  <c r="E80" i="36"/>
  <c r="E79" i="36"/>
  <c r="E78" i="36"/>
  <c r="E77" i="36"/>
  <c r="E76" i="36"/>
  <c r="E74" i="36"/>
  <c r="E73" i="36"/>
  <c r="E72" i="36"/>
  <c r="E71" i="36"/>
  <c r="E70" i="36"/>
  <c r="E69" i="36"/>
  <c r="E68" i="36"/>
  <c r="E67" i="36"/>
  <c r="E66" i="36"/>
  <c r="E64" i="36"/>
  <c r="E63" i="36"/>
  <c r="E62" i="36"/>
  <c r="E61" i="36"/>
  <c r="E60" i="36"/>
  <c r="E59" i="36"/>
  <c r="E58" i="36"/>
  <c r="E57" i="36"/>
  <c r="E56" i="36"/>
  <c r="E54" i="36"/>
  <c r="E92" i="36" s="1"/>
  <c r="E53" i="36"/>
  <c r="E52" i="36"/>
  <c r="E51" i="36"/>
  <c r="E50" i="36"/>
  <c r="E49" i="36"/>
  <c r="E48" i="36"/>
  <c r="E47" i="36"/>
  <c r="E44" i="36"/>
  <c r="E148" i="36" s="1"/>
  <c r="E43" i="36"/>
  <c r="E42" i="36"/>
  <c r="E41" i="36"/>
  <c r="E40" i="36"/>
  <c r="E39" i="36"/>
  <c r="E38" i="36"/>
  <c r="E37" i="36"/>
  <c r="E36" i="36"/>
  <c r="E35" i="36"/>
  <c r="E34" i="36"/>
  <c r="E33" i="36"/>
  <c r="E32" i="36"/>
  <c r="E31" i="36"/>
  <c r="E26" i="36"/>
  <c r="E25" i="36"/>
  <c r="E24" i="36"/>
  <c r="E23" i="36"/>
  <c r="E22" i="36"/>
  <c r="E21" i="36"/>
  <c r="E20" i="36"/>
  <c r="E19" i="36"/>
  <c r="E18" i="36"/>
  <c r="E17" i="36"/>
  <c r="E15" i="36"/>
  <c r="E14" i="36"/>
  <c r="E13" i="36"/>
  <c r="E12" i="36"/>
  <c r="E10" i="36"/>
  <c r="E27" i="36" s="1"/>
  <c r="E28" i="36" s="1"/>
  <c r="E149" i="36" s="1"/>
  <c r="E150" i="36" s="1"/>
  <c r="E9" i="36"/>
  <c r="E8" i="36"/>
  <c r="A8" i="41" a="1"/>
  <c r="A8" i="41" s="1"/>
  <c r="C8" i="40"/>
  <c r="B8" i="40" s="1"/>
  <c r="A8" i="40" a="1"/>
  <c r="A8" i="40" s="1"/>
  <c r="AE11" i="32" s="1"/>
  <c r="A8" i="39" a="1"/>
  <c r="A8" i="39" s="1"/>
  <c r="AH7" i="32" s="1"/>
  <c r="A8" i="36" a="1"/>
  <c r="A8" i="36" s="1"/>
  <c r="AD8" i="32" s="1"/>
  <c r="N16" i="35"/>
  <c r="O5" i="42" s="1"/>
  <c r="T13" i="32" l="1"/>
  <c r="T27" i="32"/>
  <c r="T19" i="32"/>
  <c r="AD31" i="32"/>
  <c r="AD27" i="32"/>
  <c r="AD23" i="32"/>
  <c r="AD19" i="32"/>
  <c r="AD15" i="32"/>
  <c r="AD11" i="32"/>
  <c r="AH33" i="32"/>
  <c r="AH29" i="32"/>
  <c r="AH25" i="32"/>
  <c r="AH21" i="32"/>
  <c r="AH17" i="32"/>
  <c r="AH13" i="32"/>
  <c r="AH9" i="32"/>
  <c r="T26" i="32"/>
  <c r="T18" i="32"/>
  <c r="AE30" i="32"/>
  <c r="AE26" i="32"/>
  <c r="AE22" i="32"/>
  <c r="AE18" i="32"/>
  <c r="AE14" i="32"/>
  <c r="AE10" i="32"/>
  <c r="T33" i="32"/>
  <c r="T25" i="32"/>
  <c r="T17" i="32"/>
  <c r="AD30" i="32"/>
  <c r="AD26" i="32"/>
  <c r="AD22" i="32"/>
  <c r="AD18" i="32"/>
  <c r="AD10" i="32"/>
  <c r="AH32" i="32"/>
  <c r="AH28" i="32"/>
  <c r="AH24" i="32"/>
  <c r="AH20" i="32"/>
  <c r="AH16" i="32"/>
  <c r="AH12" i="32"/>
  <c r="AH8" i="32"/>
  <c r="AH41" i="32" s="1"/>
  <c r="T32" i="32"/>
  <c r="T24" i="32"/>
  <c r="T16" i="32"/>
  <c r="AE33" i="32"/>
  <c r="AE29" i="32"/>
  <c r="AE25" i="32"/>
  <c r="AE21" i="32"/>
  <c r="AE17" i="32"/>
  <c r="AE13" i="32"/>
  <c r="AE9" i="32"/>
  <c r="T31" i="32"/>
  <c r="T23" i="32"/>
  <c r="T15" i="32"/>
  <c r="AD33" i="32"/>
  <c r="AD29" i="32"/>
  <c r="AD25" i="32"/>
  <c r="AD21" i="32"/>
  <c r="AD17" i="32"/>
  <c r="AD13" i="32"/>
  <c r="AD9" i="32"/>
  <c r="AH31" i="32"/>
  <c r="AH27" i="32"/>
  <c r="AH23" i="32"/>
  <c r="AH19" i="32"/>
  <c r="AH15" i="32"/>
  <c r="AH11" i="32"/>
  <c r="AD7" i="32"/>
  <c r="T30" i="32"/>
  <c r="T22" i="32"/>
  <c r="T14" i="32"/>
  <c r="AE32" i="32"/>
  <c r="AE28" i="32"/>
  <c r="AE24" i="32"/>
  <c r="AE20" i="32"/>
  <c r="AE16" i="32"/>
  <c r="AE12" i="32"/>
  <c r="AE8" i="32"/>
  <c r="AE7" i="32"/>
  <c r="T29" i="32"/>
  <c r="T21" i="32"/>
  <c r="AD32" i="32"/>
  <c r="AD28" i="32"/>
  <c r="AD24" i="32"/>
  <c r="AD20" i="32"/>
  <c r="AD16" i="32"/>
  <c r="AD12" i="32"/>
  <c r="AH30" i="32"/>
  <c r="AH26" i="32"/>
  <c r="AH22" i="32"/>
  <c r="AH18" i="32"/>
  <c r="AH14" i="32"/>
  <c r="AH10" i="32"/>
  <c r="M16" i="35" s="1"/>
  <c r="N5" i="42" s="1"/>
  <c r="T28" i="32"/>
  <c r="AE31" i="32"/>
  <c r="AE27" i="32"/>
  <c r="AE23" i="32"/>
  <c r="AE19" i="32"/>
  <c r="AE15" i="32"/>
  <c r="X34" i="32"/>
  <c r="Z12" i="39"/>
  <c r="Z39" i="39"/>
  <c r="Z71" i="39"/>
  <c r="Z14" i="39"/>
  <c r="Z69" i="39"/>
  <c r="Z75" i="39"/>
  <c r="H77" i="39"/>
  <c r="V66" i="39"/>
  <c r="Z66" i="39" s="1"/>
  <c r="S76" i="39"/>
  <c r="V76" i="39" s="1"/>
  <c r="L77" i="39"/>
  <c r="L78" i="39" s="1"/>
  <c r="Y20" i="39"/>
  <c r="X21" i="39"/>
  <c r="X77" i="39" s="1"/>
  <c r="X78" i="39" s="1"/>
  <c r="P77" i="39"/>
  <c r="V20" i="39"/>
  <c r="Q21" i="39"/>
  <c r="Q77" i="39" s="1"/>
  <c r="Q78" i="39" s="1"/>
  <c r="O76" i="39"/>
  <c r="I21" i="39"/>
  <c r="I77" i="39" s="1"/>
  <c r="I78" i="39" s="1"/>
  <c r="O20" i="39"/>
  <c r="R77" i="39"/>
  <c r="R78" i="39" s="1"/>
  <c r="Y21" i="39"/>
  <c r="S20" i="39"/>
  <c r="S21" i="39" s="1"/>
  <c r="O36" i="39"/>
  <c r="Z36" i="39" s="1"/>
  <c r="O19" i="39"/>
  <c r="Z19" i="39" s="1"/>
  <c r="W76" i="39"/>
  <c r="Y76" i="39" s="1"/>
  <c r="T34" i="32" l="1"/>
  <c r="U30" i="32" s="1"/>
  <c r="V30" i="32" s="1"/>
  <c r="W30" i="32" s="1"/>
  <c r="U15" i="32"/>
  <c r="V15" i="32" s="1"/>
  <c r="W15" i="32" s="1"/>
  <c r="U23" i="32"/>
  <c r="V23" i="32" s="1"/>
  <c r="W23" i="32" s="1"/>
  <c r="AH34" i="32"/>
  <c r="AH39" i="32" s="1"/>
  <c r="U19" i="32"/>
  <c r="V19" i="32" s="1"/>
  <c r="W19" i="32" s="1"/>
  <c r="U24" i="32"/>
  <c r="V24" i="32" s="1"/>
  <c r="W24" i="32" s="1"/>
  <c r="U25" i="32"/>
  <c r="V25" i="32" s="1"/>
  <c r="W25" i="32" s="1"/>
  <c r="U18" i="32"/>
  <c r="V18" i="32" s="1"/>
  <c r="W18" i="32" s="1"/>
  <c r="U27" i="32"/>
  <c r="V27" i="32" s="1"/>
  <c r="W27" i="32" s="1"/>
  <c r="U21" i="32"/>
  <c r="V21" i="32" s="1"/>
  <c r="W21" i="32" s="1"/>
  <c r="U29" i="32"/>
  <c r="V29" i="32" s="1"/>
  <c r="W29" i="32" s="1"/>
  <c r="Z20" i="39"/>
  <c r="S77" i="39"/>
  <c r="S78" i="39" s="1"/>
  <c r="V21" i="39"/>
  <c r="V77" i="39"/>
  <c r="P78" i="39"/>
  <c r="V78" i="39" s="1"/>
  <c r="O21" i="39"/>
  <c r="Z76" i="39"/>
  <c r="H78" i="39"/>
  <c r="O78" i="39" s="1"/>
  <c r="O77" i="39"/>
  <c r="W77" i="39"/>
  <c r="U13" i="32" l="1"/>
  <c r="U20" i="32"/>
  <c r="V20" i="32" s="1"/>
  <c r="W20" i="32" s="1"/>
  <c r="U26" i="32"/>
  <c r="V26" i="32" s="1"/>
  <c r="W26" i="32" s="1"/>
  <c r="U17" i="32"/>
  <c r="V17" i="32" s="1"/>
  <c r="W17" i="32" s="1"/>
  <c r="U22" i="32"/>
  <c r="V22" i="32" s="1"/>
  <c r="W22" i="32" s="1"/>
  <c r="U33" i="32"/>
  <c r="V33" i="32" s="1"/>
  <c r="W33" i="32" s="1"/>
  <c r="U16" i="32"/>
  <c r="V16" i="32" s="1"/>
  <c r="W16" i="32" s="1"/>
  <c r="U28" i="32"/>
  <c r="V28" i="32" s="1"/>
  <c r="W28" i="32" s="1"/>
  <c r="U32" i="32"/>
  <c r="V32" i="32" s="1"/>
  <c r="W32" i="32" s="1"/>
  <c r="U31" i="32"/>
  <c r="V31" i="32" s="1"/>
  <c r="W31" i="32" s="1"/>
  <c r="U14" i="32"/>
  <c r="V14" i="32" s="1"/>
  <c r="W14" i="32" s="1"/>
  <c r="Y77" i="39"/>
  <c r="W78" i="39"/>
  <c r="Y78" i="39" s="1"/>
  <c r="Z77" i="39"/>
  <c r="Z21" i="39"/>
  <c r="Z78" i="39"/>
  <c r="U34" i="32" l="1"/>
  <c r="V13" i="32"/>
  <c r="AG12" i="32"/>
  <c r="AC12" i="32"/>
  <c r="G59" i="35"/>
  <c r="N51" i="35"/>
  <c r="M51" i="35"/>
  <c r="L51" i="35"/>
  <c r="K51" i="35"/>
  <c r="J51" i="35"/>
  <c r="I51" i="35"/>
  <c r="H51" i="35"/>
  <c r="G51" i="35"/>
  <c r="N50" i="35"/>
  <c r="O27" i="42" s="1"/>
  <c r="M50" i="35"/>
  <c r="N27" i="42" s="1"/>
  <c r="J50" i="35"/>
  <c r="K27" i="42" s="1"/>
  <c r="I50" i="35"/>
  <c r="J27" i="42" s="1"/>
  <c r="N48" i="35"/>
  <c r="M48" i="35"/>
  <c r="L48" i="35"/>
  <c r="K48" i="35"/>
  <c r="J48" i="35"/>
  <c r="I48" i="35"/>
  <c r="H48" i="35"/>
  <c r="G48" i="35"/>
  <c r="N47" i="35"/>
  <c r="O26" i="42" s="1"/>
  <c r="M47" i="35"/>
  <c r="N26" i="42" s="1"/>
  <c r="J47" i="35"/>
  <c r="K26" i="42" s="1"/>
  <c r="I47" i="35"/>
  <c r="J26" i="42" s="1"/>
  <c r="N46" i="35"/>
  <c r="O25" i="42" s="1"/>
  <c r="M46" i="35"/>
  <c r="N25" i="42" s="1"/>
  <c r="J46" i="35"/>
  <c r="K25" i="42" s="1"/>
  <c r="I46" i="35"/>
  <c r="J25" i="42" s="1"/>
  <c r="N44" i="35"/>
  <c r="O24" i="42" s="1"/>
  <c r="M44" i="35"/>
  <c r="N24" i="42" s="1"/>
  <c r="J44" i="35"/>
  <c r="K24" i="42" s="1"/>
  <c r="I44" i="35"/>
  <c r="J24" i="42" s="1"/>
  <c r="N43" i="35"/>
  <c r="O23" i="42" s="1"/>
  <c r="M43" i="35"/>
  <c r="N23" i="42" s="1"/>
  <c r="J43" i="35"/>
  <c r="K23" i="42" s="1"/>
  <c r="I43" i="35"/>
  <c r="J23" i="42" s="1"/>
  <c r="N42" i="35"/>
  <c r="M42" i="35"/>
  <c r="J42" i="35"/>
  <c r="I42" i="35"/>
  <c r="N39" i="35"/>
  <c r="O21" i="42" s="1"/>
  <c r="M39" i="35"/>
  <c r="N21" i="42" s="1"/>
  <c r="J39" i="35"/>
  <c r="K21" i="42" s="1"/>
  <c r="I39" i="35"/>
  <c r="J21" i="42" s="1"/>
  <c r="N38" i="35"/>
  <c r="O20" i="42" s="1"/>
  <c r="M38" i="35"/>
  <c r="N20" i="42" s="1"/>
  <c r="J38" i="35"/>
  <c r="K20" i="42" s="1"/>
  <c r="I38" i="35"/>
  <c r="J20" i="42" s="1"/>
  <c r="N37" i="35"/>
  <c r="O19" i="42" s="1"/>
  <c r="M37" i="35"/>
  <c r="N19" i="42" s="1"/>
  <c r="J37" i="35"/>
  <c r="K19" i="42" s="1"/>
  <c r="I37" i="35"/>
  <c r="J19" i="42" s="1"/>
  <c r="N36" i="35"/>
  <c r="O18" i="42" s="1"/>
  <c r="M36" i="35"/>
  <c r="N18" i="42" s="1"/>
  <c r="J36" i="35"/>
  <c r="K18" i="42" s="1"/>
  <c r="I36" i="35"/>
  <c r="J18" i="42" s="1"/>
  <c r="N35" i="35"/>
  <c r="O17" i="42" s="1"/>
  <c r="M35" i="35"/>
  <c r="N17" i="42" s="1"/>
  <c r="J35" i="35"/>
  <c r="K17" i="42" s="1"/>
  <c r="I35" i="35"/>
  <c r="J17" i="42" s="1"/>
  <c r="N34" i="35"/>
  <c r="O16" i="42" s="1"/>
  <c r="M34" i="35"/>
  <c r="N16" i="42" s="1"/>
  <c r="J34" i="35"/>
  <c r="K16" i="42" s="1"/>
  <c r="I34" i="35"/>
  <c r="J16" i="42" s="1"/>
  <c r="N33" i="35"/>
  <c r="O15" i="42" s="1"/>
  <c r="M33" i="35"/>
  <c r="N15" i="42" s="1"/>
  <c r="J33" i="35"/>
  <c r="K15" i="42" s="1"/>
  <c r="I33" i="35"/>
  <c r="J15" i="42" s="1"/>
  <c r="N32" i="35"/>
  <c r="M32" i="35"/>
  <c r="J32" i="35"/>
  <c r="I32" i="35"/>
  <c r="N29" i="35"/>
  <c r="O13" i="42" s="1"/>
  <c r="M29" i="35"/>
  <c r="N13" i="42" s="1"/>
  <c r="J29" i="35"/>
  <c r="K13" i="42" s="1"/>
  <c r="I29" i="35"/>
  <c r="J13" i="42" s="1"/>
  <c r="N28" i="35"/>
  <c r="O12" i="42" s="1"/>
  <c r="M28" i="35"/>
  <c r="N12" i="42" s="1"/>
  <c r="J28" i="35"/>
  <c r="K12" i="42" s="1"/>
  <c r="I28" i="35"/>
  <c r="J12" i="42" s="1"/>
  <c r="N27" i="35"/>
  <c r="O11" i="42" s="1"/>
  <c r="M27" i="35"/>
  <c r="N11" i="42" s="1"/>
  <c r="J27" i="35"/>
  <c r="K11" i="42" s="1"/>
  <c r="I27" i="35"/>
  <c r="J11" i="42" s="1"/>
  <c r="N26" i="35"/>
  <c r="O10" i="42" s="1"/>
  <c r="M26" i="35"/>
  <c r="N10" i="42" s="1"/>
  <c r="J26" i="35"/>
  <c r="K10" i="42" s="1"/>
  <c r="I26" i="35"/>
  <c r="J10" i="42" s="1"/>
  <c r="N25" i="35"/>
  <c r="O9" i="42" s="1"/>
  <c r="M25" i="35"/>
  <c r="N9" i="42" s="1"/>
  <c r="J25" i="35"/>
  <c r="K9" i="42" s="1"/>
  <c r="I25" i="35"/>
  <c r="J9" i="42" s="1"/>
  <c r="N24" i="35"/>
  <c r="M24" i="35"/>
  <c r="J24" i="35"/>
  <c r="I24" i="35"/>
  <c r="N19" i="35"/>
  <c r="O7" i="42" s="1"/>
  <c r="M19" i="35"/>
  <c r="N7" i="42" s="1"/>
  <c r="J19" i="35"/>
  <c r="K7" i="42" s="1"/>
  <c r="I19" i="35"/>
  <c r="J7" i="42" s="1"/>
  <c r="N17" i="35"/>
  <c r="O6" i="42" s="1"/>
  <c r="M17" i="35"/>
  <c r="N6" i="42" s="1"/>
  <c r="J17" i="35"/>
  <c r="K6" i="42" s="1"/>
  <c r="I17" i="35"/>
  <c r="J6" i="42" s="1"/>
  <c r="I15" i="35"/>
  <c r="J4" i="42" s="1"/>
  <c r="J15" i="35"/>
  <c r="K4" i="42" s="1"/>
  <c r="I13" i="35"/>
  <c r="J2" i="42" s="1"/>
  <c r="J13" i="35"/>
  <c r="K2" i="42" s="1"/>
  <c r="M13" i="35"/>
  <c r="N2" i="42" s="1"/>
  <c r="N13" i="35"/>
  <c r="O2" i="42" s="1"/>
  <c r="N14" i="35"/>
  <c r="O3" i="42" s="1"/>
  <c r="M14" i="35"/>
  <c r="N3" i="42" s="1"/>
  <c r="J14" i="35"/>
  <c r="K3" i="42" s="1"/>
  <c r="I14" i="35"/>
  <c r="J3" i="42" s="1"/>
  <c r="D4" i="35"/>
  <c r="AD41" i="32"/>
  <c r="AE41" i="32"/>
  <c r="AF40" i="32"/>
  <c r="AB40" i="32"/>
  <c r="AF38" i="32"/>
  <c r="AB38" i="32"/>
  <c r="D125" i="31" a="1"/>
  <c r="D125" i="31" s="1"/>
  <c r="D96" i="31" a="1"/>
  <c r="D96" i="31" s="1"/>
  <c r="D92" i="31" a="1"/>
  <c r="D92" i="31" s="1"/>
  <c r="D89" i="31" a="1"/>
  <c r="D89" i="31" s="1"/>
  <c r="D79" i="31" a="1"/>
  <c r="D79" i="31" s="1"/>
  <c r="D73" i="31" a="1"/>
  <c r="D73" i="31" s="1"/>
  <c r="D63" i="31" a="1"/>
  <c r="D63" i="31" s="1"/>
  <c r="D53" i="31" a="1"/>
  <c r="D53" i="31" s="1"/>
  <c r="D43" i="31" a="1"/>
  <c r="D43" i="31" s="1"/>
  <c r="D42" i="31" a="1"/>
  <c r="D42" i="31" s="1"/>
  <c r="D26" i="31" a="1"/>
  <c r="D26" i="31" s="1"/>
  <c r="AE34" i="32"/>
  <c r="AE39" i="32" s="1"/>
  <c r="AD34" i="32"/>
  <c r="AD39" i="32" s="1"/>
  <c r="M34" i="32"/>
  <c r="B23" i="32"/>
  <c r="B22" i="32"/>
  <c r="B21" i="32"/>
  <c r="B20" i="32"/>
  <c r="B19" i="32"/>
  <c r="B18" i="32"/>
  <c r="B17" i="32"/>
  <c r="B16" i="32"/>
  <c r="B15" i="32"/>
  <c r="B14" i="32"/>
  <c r="B13" i="32"/>
  <c r="B12" i="32"/>
  <c r="B11" i="32"/>
  <c r="B10" i="32"/>
  <c r="B9" i="32"/>
  <c r="B8" i="32"/>
  <c r="B7" i="32"/>
  <c r="B6" i="32"/>
  <c r="B5" i="32"/>
  <c r="B4" i="32"/>
  <c r="D88" i="30" s="1" a="1"/>
  <c r="D88" i="30" s="1"/>
  <c r="W13" i="32" l="1"/>
  <c r="W34" i="32" s="1"/>
  <c r="V34" i="32"/>
  <c r="O8" i="42"/>
  <c r="N30" i="35"/>
  <c r="O22" i="42"/>
  <c r="N45" i="35"/>
  <c r="N40" i="35"/>
  <c r="O14" i="42"/>
  <c r="M45" i="35"/>
  <c r="N22" i="42"/>
  <c r="M30" i="35"/>
  <c r="N8" i="42"/>
  <c r="N14" i="42"/>
  <c r="M40" i="35"/>
  <c r="K8" i="42"/>
  <c r="J30" i="35"/>
  <c r="J40" i="35"/>
  <c r="K14" i="42"/>
  <c r="K22" i="42"/>
  <c r="J45" i="35"/>
  <c r="J22" i="42"/>
  <c r="I45" i="35"/>
  <c r="J14" i="42"/>
  <c r="I40" i="35"/>
  <c r="J8" i="42"/>
  <c r="I30" i="35"/>
  <c r="D44" i="31" a="1"/>
  <c r="D44" i="31" s="1"/>
  <c r="D80" i="31" a="1"/>
  <c r="D80" i="31" s="1"/>
  <c r="D100" i="31" a="1"/>
  <c r="D100" i="31" s="1"/>
  <c r="D108" i="31" a="1"/>
  <c r="D108" i="31" s="1"/>
  <c r="D118" i="31" a="1"/>
  <c r="D118" i="31" s="1"/>
  <c r="D127" i="31" a="1"/>
  <c r="D127" i="31" s="1"/>
  <c r="D137" i="31" a="1"/>
  <c r="D137" i="31" s="1"/>
  <c r="D145" i="31" a="1"/>
  <c r="D145" i="31" s="1"/>
  <c r="D168" i="30" a="1"/>
  <c r="D168" i="30" s="1"/>
  <c r="D158" i="30" a="1"/>
  <c r="D158" i="30" s="1"/>
  <c r="D150" i="30" a="1"/>
  <c r="D150" i="30" s="1"/>
  <c r="D140" i="30" a="1"/>
  <c r="D140" i="30" s="1"/>
  <c r="D131" i="30" a="1"/>
  <c r="D131" i="30" s="1"/>
  <c r="D121" i="30" a="1"/>
  <c r="D121" i="30" s="1"/>
  <c r="D113" i="30" a="1"/>
  <c r="D113" i="30" s="1"/>
  <c r="D103" i="30" a="1"/>
  <c r="D103" i="30" s="1"/>
  <c r="D95" i="30" a="1"/>
  <c r="D95" i="30" s="1"/>
  <c r="D87" i="30" a="1"/>
  <c r="D87" i="30" s="1"/>
  <c r="D82" i="30" a="1"/>
  <c r="D82" i="30" s="1"/>
  <c r="D60" i="30" a="1"/>
  <c r="D60" i="30" s="1"/>
  <c r="D56" i="30" a="1"/>
  <c r="D56" i="30" s="1"/>
  <c r="D52" i="30" a="1"/>
  <c r="D52" i="30" s="1"/>
  <c r="D48" i="30" a="1"/>
  <c r="D48" i="30" s="1"/>
  <c r="D44" i="30" a="1"/>
  <c r="D44" i="30" s="1"/>
  <c r="D40" i="30" a="1"/>
  <c r="D40" i="30" s="1"/>
  <c r="D36" i="30" a="1"/>
  <c r="D36" i="30" s="1"/>
  <c r="D61" i="31" a="1"/>
  <c r="D61" i="31" s="1"/>
  <c r="D39" i="31" a="1"/>
  <c r="D39" i="31" s="1"/>
  <c r="D31" i="31" a="1"/>
  <c r="D31" i="31" s="1"/>
  <c r="D45" i="31" a="1"/>
  <c r="D45" i="31" s="1"/>
  <c r="D54" i="31" a="1"/>
  <c r="D54" i="31" s="1"/>
  <c r="D71" i="31" a="1"/>
  <c r="D71" i="31" s="1"/>
  <c r="D81" i="31" a="1"/>
  <c r="D81" i="31" s="1"/>
  <c r="D90" i="31" a="1"/>
  <c r="D90" i="31" s="1"/>
  <c r="D101" i="31" a="1"/>
  <c r="D101" i="31" s="1"/>
  <c r="D109" i="31" a="1"/>
  <c r="D109" i="31" s="1"/>
  <c r="D119" i="31" a="1"/>
  <c r="D119" i="31" s="1"/>
  <c r="D128" i="31" a="1"/>
  <c r="D128" i="31" s="1"/>
  <c r="D138" i="31" a="1"/>
  <c r="D138" i="31" s="1"/>
  <c r="D148" i="31" a="1"/>
  <c r="D148" i="31" s="1"/>
  <c r="D167" i="30" a="1"/>
  <c r="D167" i="30" s="1"/>
  <c r="D157" i="30" a="1"/>
  <c r="D157" i="30" s="1"/>
  <c r="D149" i="30" a="1"/>
  <c r="D149" i="30" s="1"/>
  <c r="D139" i="30" a="1"/>
  <c r="D139" i="30" s="1"/>
  <c r="D130" i="30" a="1"/>
  <c r="D130" i="30" s="1"/>
  <c r="D120" i="30" a="1"/>
  <c r="D120" i="30" s="1"/>
  <c r="D112" i="30" a="1"/>
  <c r="D112" i="30" s="1"/>
  <c r="D102" i="30" a="1"/>
  <c r="D102" i="30" s="1"/>
  <c r="D94" i="30" a="1"/>
  <c r="D94" i="30" s="1"/>
  <c r="D86" i="30" a="1"/>
  <c r="D86" i="30" s="1"/>
  <c r="D70" i="31" a="1"/>
  <c r="D70" i="31" s="1"/>
  <c r="D46" i="31" a="1"/>
  <c r="D46" i="31" s="1"/>
  <c r="D64" i="31" a="1"/>
  <c r="D64" i="31" s="1"/>
  <c r="D82" i="31" a="1"/>
  <c r="D82" i="31" s="1"/>
  <c r="D110" i="31" a="1"/>
  <c r="D110" i="31" s="1"/>
  <c r="D120" i="31" a="1"/>
  <c r="D120" i="31" s="1"/>
  <c r="D129" i="31" a="1"/>
  <c r="D129" i="31" s="1"/>
  <c r="D139" i="31" a="1"/>
  <c r="D139" i="31" s="1"/>
  <c r="D149" i="31" a="1"/>
  <c r="D149" i="31" s="1"/>
  <c r="D164" i="30" a="1"/>
  <c r="D164" i="30" s="1"/>
  <c r="D156" i="30" a="1"/>
  <c r="D156" i="30" s="1"/>
  <c r="D148" i="30" a="1"/>
  <c r="D148" i="30" s="1"/>
  <c r="D138" i="30" a="1"/>
  <c r="D138" i="30" s="1"/>
  <c r="D129" i="30" a="1"/>
  <c r="D129" i="30" s="1"/>
  <c r="D119" i="30" a="1"/>
  <c r="D119" i="30" s="1"/>
  <c r="D109" i="30" a="1"/>
  <c r="D109" i="30" s="1"/>
  <c r="D101" i="30" a="1"/>
  <c r="D101" i="30" s="1"/>
  <c r="D93" i="30" a="1"/>
  <c r="D93" i="30" s="1"/>
  <c r="D85" i="30" a="1"/>
  <c r="D85" i="30" s="1"/>
  <c r="D63" i="30" a="1"/>
  <c r="D63" i="30" s="1"/>
  <c r="D59" i="30" a="1"/>
  <c r="D59" i="30" s="1"/>
  <c r="D55" i="30" a="1"/>
  <c r="D55" i="30" s="1"/>
  <c r="D51" i="30" a="1"/>
  <c r="D51" i="30" s="1"/>
  <c r="D47" i="30" a="1"/>
  <c r="D47" i="30" s="1"/>
  <c r="D43" i="30" a="1"/>
  <c r="D43" i="30" s="1"/>
  <c r="D39" i="30" a="1"/>
  <c r="D39" i="30" s="1"/>
  <c r="D35" i="30" a="1"/>
  <c r="D35" i="30" s="1"/>
  <c r="D32" i="31" a="1"/>
  <c r="D32" i="31" s="1"/>
  <c r="D30" i="31" a="1"/>
  <c r="D30" i="31" s="1"/>
  <c r="D55" i="31" a="1"/>
  <c r="D55" i="31" s="1"/>
  <c r="D102" i="31" a="1"/>
  <c r="D102" i="31" s="1"/>
  <c r="D37" i="31" a="1"/>
  <c r="D37" i="31" s="1"/>
  <c r="D29" i="31" a="1"/>
  <c r="D29" i="31" s="1"/>
  <c r="D47" i="31" a="1"/>
  <c r="D47" i="31" s="1"/>
  <c r="D56" i="31" a="1"/>
  <c r="D56" i="31" s="1"/>
  <c r="D65" i="31" a="1"/>
  <c r="D65" i="31" s="1"/>
  <c r="D74" i="31" a="1"/>
  <c r="D74" i="31" s="1"/>
  <c r="D83" i="31" a="1"/>
  <c r="D83" i="31" s="1"/>
  <c r="D93" i="31" a="1"/>
  <c r="D93" i="31" s="1"/>
  <c r="D103" i="31" a="1"/>
  <c r="D103" i="31" s="1"/>
  <c r="D113" i="31" a="1"/>
  <c r="D113" i="31" s="1"/>
  <c r="D121" i="31" a="1"/>
  <c r="D121" i="31" s="1"/>
  <c r="D130" i="31" a="1"/>
  <c r="D130" i="31" s="1"/>
  <c r="D140" i="31" a="1"/>
  <c r="D140" i="31" s="1"/>
  <c r="D152" i="31" a="1"/>
  <c r="D152" i="31" s="1"/>
  <c r="D163" i="30" a="1"/>
  <c r="D163" i="30" s="1"/>
  <c r="D155" i="30" a="1"/>
  <c r="D155" i="30" s="1"/>
  <c r="D147" i="30" a="1"/>
  <c r="D147" i="30" s="1"/>
  <c r="D137" i="30" a="1"/>
  <c r="D137" i="30" s="1"/>
  <c r="D128" i="30" a="1"/>
  <c r="D128" i="30" s="1"/>
  <c r="D118" i="30" a="1"/>
  <c r="D118" i="30" s="1"/>
  <c r="D108" i="30" a="1"/>
  <c r="D108" i="30" s="1"/>
  <c r="D100" i="30" a="1"/>
  <c r="D100" i="30" s="1"/>
  <c r="D92" i="30" a="1"/>
  <c r="D92" i="30" s="1"/>
  <c r="D38" i="31" a="1"/>
  <c r="D38" i="31" s="1"/>
  <c r="D57" i="31" a="1"/>
  <c r="D57" i="31" s="1"/>
  <c r="D75" i="31" a="1"/>
  <c r="D75" i="31" s="1"/>
  <c r="D104" i="31" a="1"/>
  <c r="D104" i="31" s="1"/>
  <c r="D114" i="31" a="1"/>
  <c r="D114" i="31" s="1"/>
  <c r="D122" i="31" a="1"/>
  <c r="D122" i="31" s="1"/>
  <c r="D131" i="31" a="1"/>
  <c r="D131" i="31" s="1"/>
  <c r="D141" i="31" a="1"/>
  <c r="D141" i="31" s="1"/>
  <c r="D162" i="30" a="1"/>
  <c r="D162" i="30" s="1"/>
  <c r="D154" i="30" a="1"/>
  <c r="D154" i="30" s="1"/>
  <c r="D146" i="30" a="1"/>
  <c r="D146" i="30" s="1"/>
  <c r="D136" i="30" a="1"/>
  <c r="D136" i="30" s="1"/>
  <c r="D125" i="30" a="1"/>
  <c r="D125" i="30" s="1"/>
  <c r="D117" i="30" a="1"/>
  <c r="D117" i="30" s="1"/>
  <c r="D107" i="30" a="1"/>
  <c r="D107" i="30" s="1"/>
  <c r="D99" i="30" a="1"/>
  <c r="D99" i="30" s="1"/>
  <c r="D91" i="30" a="1"/>
  <c r="D91" i="30" s="1"/>
  <c r="D84" i="30" a="1"/>
  <c r="D84" i="30" s="1"/>
  <c r="D62" i="30" a="1"/>
  <c r="D62" i="30" s="1"/>
  <c r="D58" i="30" a="1"/>
  <c r="D58" i="30" s="1"/>
  <c r="D54" i="30" a="1"/>
  <c r="D54" i="30" s="1"/>
  <c r="D50" i="30" a="1"/>
  <c r="D50" i="30" s="1"/>
  <c r="D46" i="30" a="1"/>
  <c r="D46" i="30" s="1"/>
  <c r="D42" i="30" a="1"/>
  <c r="D42" i="30" s="1"/>
  <c r="D38" i="30" a="1"/>
  <c r="D38" i="30" s="1"/>
  <c r="D28" i="31" a="1"/>
  <c r="D28" i="31" s="1"/>
  <c r="D66" i="31" a="1"/>
  <c r="D66" i="31" s="1"/>
  <c r="D84" i="31" a="1"/>
  <c r="D84" i="31" s="1"/>
  <c r="D35" i="31" a="1"/>
  <c r="D35" i="31" s="1"/>
  <c r="D27" i="31" a="1"/>
  <c r="D27" i="31" s="1"/>
  <c r="D49" i="31" a="1"/>
  <c r="D49" i="31" s="1"/>
  <c r="D58" i="31" a="1"/>
  <c r="D58" i="31" s="1"/>
  <c r="D67" i="31" a="1"/>
  <c r="D67" i="31" s="1"/>
  <c r="D76" i="31" a="1"/>
  <c r="D76" i="31" s="1"/>
  <c r="D85" i="31" a="1"/>
  <c r="D85" i="31" s="1"/>
  <c r="D97" i="31" a="1"/>
  <c r="D97" i="31" s="1"/>
  <c r="D105" i="31" a="1"/>
  <c r="D105" i="31" s="1"/>
  <c r="D115" i="31" a="1"/>
  <c r="D115" i="31" s="1"/>
  <c r="D123" i="31" a="1"/>
  <c r="D123" i="31" s="1"/>
  <c r="D132" i="31" a="1"/>
  <c r="D132" i="31" s="1"/>
  <c r="D142" i="31" a="1"/>
  <c r="D142" i="31" s="1"/>
  <c r="D161" i="30" a="1"/>
  <c r="D161" i="30" s="1"/>
  <c r="D153" i="30" a="1"/>
  <c r="D153" i="30" s="1"/>
  <c r="D145" i="30" a="1"/>
  <c r="D145" i="30" s="1"/>
  <c r="D134" i="30" a="1"/>
  <c r="D134" i="30" s="1"/>
  <c r="D124" i="30" a="1"/>
  <c r="D124" i="30" s="1"/>
  <c r="D116" i="30" a="1"/>
  <c r="D116" i="30" s="1"/>
  <c r="D106" i="30" a="1"/>
  <c r="D106" i="30" s="1"/>
  <c r="D98" i="30" a="1"/>
  <c r="D98" i="30" s="1"/>
  <c r="D90" i="30" a="1"/>
  <c r="D90" i="30" s="1"/>
  <c r="D40" i="31" a="1"/>
  <c r="D40" i="31" s="1"/>
  <c r="D48" i="31" a="1"/>
  <c r="D48" i="31" s="1"/>
  <c r="D59" i="31" a="1"/>
  <c r="D59" i="31" s="1"/>
  <c r="D77" i="31" a="1"/>
  <c r="D77" i="31" s="1"/>
  <c r="D98" i="31" a="1"/>
  <c r="D98" i="31" s="1"/>
  <c r="D116" i="31" a="1"/>
  <c r="D116" i="31" s="1"/>
  <c r="D133" i="31" a="1"/>
  <c r="D133" i="31" s="1"/>
  <c r="D143" i="31" a="1"/>
  <c r="D143" i="31" s="1"/>
  <c r="D160" i="30" a="1"/>
  <c r="D160" i="30" s="1"/>
  <c r="D152" i="30" a="1"/>
  <c r="D152" i="30" s="1"/>
  <c r="D142" i="30" a="1"/>
  <c r="D142" i="30" s="1"/>
  <c r="D133" i="30" a="1"/>
  <c r="D133" i="30" s="1"/>
  <c r="D123" i="30" a="1"/>
  <c r="D123" i="30" s="1"/>
  <c r="D115" i="30" a="1"/>
  <c r="D115" i="30" s="1"/>
  <c r="D105" i="30" a="1"/>
  <c r="D105" i="30" s="1"/>
  <c r="D97" i="30" a="1"/>
  <c r="D97" i="30" s="1"/>
  <c r="D89" i="30" a="1"/>
  <c r="D89" i="30" s="1"/>
  <c r="D83" i="30" a="1"/>
  <c r="D83" i="30" s="1"/>
  <c r="D61" i="30" a="1"/>
  <c r="D61" i="30" s="1"/>
  <c r="D57" i="30" a="1"/>
  <c r="D57" i="30" s="1"/>
  <c r="D53" i="30" a="1"/>
  <c r="D53" i="30" s="1"/>
  <c r="D49" i="30" a="1"/>
  <c r="D49" i="30" s="1"/>
  <c r="D45" i="30" a="1"/>
  <c r="D45" i="30" s="1"/>
  <c r="D41" i="30" a="1"/>
  <c r="D41" i="30" s="1"/>
  <c r="D37" i="30" a="1"/>
  <c r="D37" i="30" s="1"/>
  <c r="D36" i="31" a="1"/>
  <c r="D36" i="31" s="1"/>
  <c r="D34" i="31" a="1"/>
  <c r="D34" i="31" s="1"/>
  <c r="D50" i="31" a="1"/>
  <c r="D50" i="31" s="1"/>
  <c r="D68" i="31" a="1"/>
  <c r="D68" i="31" s="1"/>
  <c r="D86" i="31" a="1"/>
  <c r="D86" i="31" s="1"/>
  <c r="D106" i="31" a="1"/>
  <c r="D106" i="31" s="1"/>
  <c r="D33" i="31" a="1"/>
  <c r="D33" i="31" s="1"/>
  <c r="D51" i="31" a="1"/>
  <c r="D51" i="31" s="1"/>
  <c r="D60" i="31" a="1"/>
  <c r="D60" i="31" s="1"/>
  <c r="D69" i="31" a="1"/>
  <c r="D69" i="31" s="1"/>
  <c r="D87" i="31" a="1"/>
  <c r="D87" i="31" s="1"/>
  <c r="AF15" i="32" s="1"/>
  <c r="K25" i="35" s="1"/>
  <c r="D99" i="31" a="1"/>
  <c r="D99" i="31" s="1"/>
  <c r="AB7" i="32" s="1"/>
  <c r="G13" i="35" s="1"/>
  <c r="D107" i="31" a="1"/>
  <c r="D107" i="31" s="1"/>
  <c r="D117" i="31" a="1"/>
  <c r="D117" i="31" s="1"/>
  <c r="AF30" i="32" s="1"/>
  <c r="K44" i="35" s="1"/>
  <c r="D126" i="31" a="1"/>
  <c r="D126" i="31" s="1"/>
  <c r="D134" i="31" a="1"/>
  <c r="D134" i="31" s="1"/>
  <c r="D144" i="31" a="1"/>
  <c r="D144" i="31" s="1"/>
  <c r="D159" i="30" a="1"/>
  <c r="D159" i="30" s="1"/>
  <c r="D151" i="30" a="1"/>
  <c r="D151" i="30" s="1"/>
  <c r="D141" i="30" a="1"/>
  <c r="D141" i="30" s="1"/>
  <c r="D132" i="30" a="1"/>
  <c r="D132" i="30" s="1"/>
  <c r="D122" i="30" a="1"/>
  <c r="D122" i="30" s="1"/>
  <c r="D114" i="30" a="1"/>
  <c r="D114" i="30" s="1"/>
  <c r="D104" i="30" a="1"/>
  <c r="D104" i="30" s="1"/>
  <c r="D96" i="30" a="1"/>
  <c r="D96" i="30" s="1"/>
  <c r="S7" i="32" s="1"/>
  <c r="I18" i="35"/>
  <c r="I21" i="35" s="1"/>
  <c r="M18" i="35"/>
  <c r="M21" i="35" s="1"/>
  <c r="J18" i="35"/>
  <c r="J21" i="35" s="1"/>
  <c r="N18" i="35"/>
  <c r="N21" i="35" s="1"/>
  <c r="I49" i="35" l="1"/>
  <c r="I52" i="35" s="1"/>
  <c r="I55" i="35" s="1"/>
  <c r="I60" i="35" s="1"/>
  <c r="J49" i="35"/>
  <c r="J52" i="35" s="1"/>
  <c r="J55" i="35"/>
  <c r="J60" i="35" s="1"/>
  <c r="N49" i="35"/>
  <c r="N52" i="35" s="1"/>
  <c r="N55" i="35" s="1"/>
  <c r="M49" i="35"/>
  <c r="M52" i="35" s="1"/>
  <c r="M55" i="35" s="1"/>
  <c r="M60" i="35" s="1"/>
  <c r="L13" i="35"/>
  <c r="AG7" i="32"/>
  <c r="AB21" i="32"/>
  <c r="G33" i="35" s="1"/>
  <c r="AF32" i="32"/>
  <c r="K47" i="35" s="1"/>
  <c r="AF33" i="32"/>
  <c r="K50" i="35" s="1"/>
  <c r="AB8" i="32"/>
  <c r="G14" i="35" s="1"/>
  <c r="AB9" i="32"/>
  <c r="G15" i="35" s="1"/>
  <c r="AB10" i="32"/>
  <c r="AB11" i="32"/>
  <c r="G17" i="35" s="1"/>
  <c r="AB12" i="32"/>
  <c r="AB29" i="32"/>
  <c r="G43" i="35" s="1"/>
  <c r="AB14" i="32"/>
  <c r="G24" i="35" s="1"/>
  <c r="AB15" i="32"/>
  <c r="G25" i="35" s="1"/>
  <c r="AB16" i="32"/>
  <c r="G26" i="35" s="1"/>
  <c r="AB17" i="32"/>
  <c r="G27" i="35" s="1"/>
  <c r="AB18" i="32"/>
  <c r="G28" i="35" s="1"/>
  <c r="AB19" i="32"/>
  <c r="G29" i="35" s="1"/>
  <c r="AB20" i="32"/>
  <c r="G32" i="35" s="1"/>
  <c r="AB22" i="32"/>
  <c r="G34" i="35" s="1"/>
  <c r="AB23" i="32"/>
  <c r="G35" i="35" s="1"/>
  <c r="AB24" i="32"/>
  <c r="G36" i="35" s="1"/>
  <c r="AB25" i="32"/>
  <c r="G37" i="35" s="1"/>
  <c r="AB26" i="32"/>
  <c r="G38" i="35" s="1"/>
  <c r="AB27" i="32"/>
  <c r="G39" i="35" s="1"/>
  <c r="AB28" i="32"/>
  <c r="G42" i="35" s="1"/>
  <c r="AB30" i="32"/>
  <c r="G44" i="35" s="1"/>
  <c r="AB31" i="32"/>
  <c r="G46" i="35" s="1"/>
  <c r="AB32" i="32"/>
  <c r="G47" i="35" s="1"/>
  <c r="AB33" i="32"/>
  <c r="G50" i="35" s="1"/>
  <c r="AF7" i="32"/>
  <c r="K13" i="35" s="1"/>
  <c r="S9" i="32"/>
  <c r="AG9" i="32" s="1"/>
  <c r="S14" i="32"/>
  <c r="S18" i="32"/>
  <c r="S22" i="32"/>
  <c r="S26" i="32"/>
  <c r="S30" i="32"/>
  <c r="K17" i="32"/>
  <c r="K23" i="32"/>
  <c r="K28" i="32"/>
  <c r="K32" i="32"/>
  <c r="R10" i="32"/>
  <c r="AC10" i="32" s="1"/>
  <c r="R15" i="32"/>
  <c r="R19" i="32"/>
  <c r="R23" i="32"/>
  <c r="R27" i="32"/>
  <c r="R31" i="32"/>
  <c r="K18" i="32"/>
  <c r="K24" i="32"/>
  <c r="I29" i="32"/>
  <c r="I33" i="32"/>
  <c r="S10" i="32"/>
  <c r="AG10" i="32" s="1"/>
  <c r="L16" i="35" s="1"/>
  <c r="S15" i="32"/>
  <c r="S19" i="32"/>
  <c r="S23" i="32"/>
  <c r="S27" i="32"/>
  <c r="S31" i="32"/>
  <c r="I19" i="32"/>
  <c r="K25" i="32"/>
  <c r="K29" i="32"/>
  <c r="K33" i="32"/>
  <c r="R11" i="32"/>
  <c r="AC11" i="32" s="1"/>
  <c r="R16" i="32"/>
  <c r="R20" i="32"/>
  <c r="R24" i="32"/>
  <c r="R28" i="32"/>
  <c r="R32" i="32"/>
  <c r="K19" i="32"/>
  <c r="I26" i="32"/>
  <c r="I30" i="32"/>
  <c r="K14" i="32"/>
  <c r="S11" i="32"/>
  <c r="AG11" i="32" s="1"/>
  <c r="S16" i="32"/>
  <c r="S20" i="32"/>
  <c r="S24" i="32"/>
  <c r="S28" i="32"/>
  <c r="S32" i="32"/>
  <c r="K15" i="32"/>
  <c r="K20" i="32"/>
  <c r="K26" i="32"/>
  <c r="K30" i="32"/>
  <c r="R8" i="32"/>
  <c r="AC8" i="32" s="1"/>
  <c r="R13" i="32"/>
  <c r="AC13" i="32" s="1"/>
  <c r="H19" i="35" s="1"/>
  <c r="R17" i="32"/>
  <c r="R21" i="32"/>
  <c r="R25" i="32"/>
  <c r="R29" i="32"/>
  <c r="R33" i="32"/>
  <c r="I16" i="32"/>
  <c r="K21" i="32"/>
  <c r="I27" i="32"/>
  <c r="I31" i="32"/>
  <c r="S8" i="32"/>
  <c r="AG8" i="32" s="1"/>
  <c r="S13" i="32"/>
  <c r="AG13" i="32" s="1"/>
  <c r="L19" i="35" s="1"/>
  <c r="S17" i="32"/>
  <c r="S21" i="32"/>
  <c r="S25" i="32"/>
  <c r="S29" i="32"/>
  <c r="S33" i="32"/>
  <c r="K16" i="32"/>
  <c r="I22" i="32"/>
  <c r="K27" i="32"/>
  <c r="K31" i="32"/>
  <c r="R9" i="32"/>
  <c r="AC9" i="32" s="1"/>
  <c r="R14" i="32"/>
  <c r="R18" i="32"/>
  <c r="R22" i="32"/>
  <c r="R26" i="32"/>
  <c r="R30" i="32"/>
  <c r="I17" i="32"/>
  <c r="K22" i="32"/>
  <c r="I28" i="32"/>
  <c r="I32" i="32"/>
  <c r="AF23" i="32"/>
  <c r="K35" i="35" s="1"/>
  <c r="AF8" i="32"/>
  <c r="K14" i="35" s="1"/>
  <c r="AF9" i="32"/>
  <c r="AF10" i="32"/>
  <c r="K16" i="35" s="1"/>
  <c r="AF11" i="32"/>
  <c r="K17" i="35" s="1"/>
  <c r="AF12" i="32"/>
  <c r="AF13" i="32"/>
  <c r="K19" i="35" s="1"/>
  <c r="AF14" i="32"/>
  <c r="K24" i="35" s="1"/>
  <c r="AF31" i="32"/>
  <c r="K46" i="35" s="1"/>
  <c r="AF16" i="32"/>
  <c r="K26" i="35" s="1"/>
  <c r="AF17" i="32"/>
  <c r="K27" i="35" s="1"/>
  <c r="AF18" i="32"/>
  <c r="K28" i="35" s="1"/>
  <c r="AF19" i="32"/>
  <c r="K29" i="35" s="1"/>
  <c r="AF20" i="32"/>
  <c r="K32" i="35" s="1"/>
  <c r="AF21" i="32"/>
  <c r="K33" i="35" s="1"/>
  <c r="AF22" i="32"/>
  <c r="K34" i="35" s="1"/>
  <c r="AB13" i="32"/>
  <c r="G19" i="35" s="1"/>
  <c r="AF24" i="32"/>
  <c r="K36" i="35" s="1"/>
  <c r="AF25" i="32"/>
  <c r="K37" i="35" s="1"/>
  <c r="AF26" i="32"/>
  <c r="K38" i="35" s="1"/>
  <c r="AF27" i="32"/>
  <c r="K39" i="35" s="1"/>
  <c r="AF28" i="32"/>
  <c r="K42" i="35" s="1"/>
  <c r="AF29" i="32"/>
  <c r="K43" i="35" s="1"/>
  <c r="G18" i="35" l="1"/>
  <c r="G21" i="35" s="1"/>
  <c r="L27" i="32"/>
  <c r="AF41" i="32"/>
  <c r="AB41" i="32"/>
  <c r="L15" i="32"/>
  <c r="AF34" i="32"/>
  <c r="AF39" i="32" s="1"/>
  <c r="L26" i="32"/>
  <c r="L18" i="32"/>
  <c r="L28" i="32"/>
  <c r="L16" i="32"/>
  <c r="AB34" i="32"/>
  <c r="AB39" i="32" s="1"/>
  <c r="L22" i="32"/>
  <c r="L31" i="32"/>
  <c r="L20" i="32"/>
  <c r="L14" i="32"/>
  <c r="K34" i="32"/>
  <c r="L23" i="32"/>
  <c r="K18" i="35"/>
  <c r="K21" i="35" s="1"/>
  <c r="L17" i="32"/>
  <c r="L33" i="32"/>
  <c r="G30" i="35"/>
  <c r="G49" i="35" s="1"/>
  <c r="G52" i="35" s="1"/>
  <c r="G55" i="35" s="1"/>
  <c r="G60" i="35" s="1"/>
  <c r="L19" i="32"/>
  <c r="L29" i="32"/>
  <c r="L25" i="32"/>
  <c r="G40" i="35"/>
  <c r="L21" i="32"/>
  <c r="G45" i="35"/>
  <c r="L30" i="32"/>
  <c r="L24" i="32"/>
  <c r="L32" i="32"/>
  <c r="H169" i="30"/>
  <c r="H165" i="30"/>
  <c r="H143" i="30"/>
  <c r="H126" i="30"/>
  <c r="H110" i="30"/>
  <c r="H80" i="30"/>
  <c r="H64" i="30"/>
  <c r="H31" i="30"/>
  <c r="H27" i="30"/>
  <c r="H11" i="30"/>
  <c r="N59" i="35" l="1"/>
  <c r="N60" i="35" s="1"/>
  <c r="L34" i="32"/>
  <c r="H32" i="30"/>
  <c r="H170" i="30"/>
  <c r="H171" i="30" s="1"/>
  <c r="A173" i="30"/>
  <c r="A172" i="30"/>
  <c r="A171" i="30"/>
  <c r="A170" i="30"/>
  <c r="A169" i="30"/>
  <c r="I168" i="30"/>
  <c r="A168" i="30"/>
  <c r="I167" i="30"/>
  <c r="A167" i="30"/>
  <c r="A166" i="30"/>
  <c r="A165" i="30"/>
  <c r="I164" i="30"/>
  <c r="A164" i="30"/>
  <c r="I163" i="30"/>
  <c r="A163" i="30"/>
  <c r="I162" i="30"/>
  <c r="A162" i="30"/>
  <c r="I161" i="30"/>
  <c r="A161" i="30"/>
  <c r="I160" i="30"/>
  <c r="A160" i="30"/>
  <c r="I159" i="30"/>
  <c r="A159" i="30"/>
  <c r="I158" i="30"/>
  <c r="A158" i="30"/>
  <c r="I157" i="30"/>
  <c r="A157" i="30"/>
  <c r="I156" i="30"/>
  <c r="A156" i="30"/>
  <c r="I155" i="30"/>
  <c r="A155" i="30"/>
  <c r="I154" i="30"/>
  <c r="A154" i="30"/>
  <c r="I153" i="30"/>
  <c r="A153" i="30"/>
  <c r="I152" i="30"/>
  <c r="A152" i="30"/>
  <c r="I151" i="30"/>
  <c r="A151" i="30"/>
  <c r="I150" i="30"/>
  <c r="A150" i="30"/>
  <c r="I149" i="30"/>
  <c r="A149" i="30"/>
  <c r="I148" i="30"/>
  <c r="A148" i="30"/>
  <c r="I147" i="30"/>
  <c r="A147" i="30"/>
  <c r="I146" i="30"/>
  <c r="A146" i="30"/>
  <c r="I145" i="30"/>
  <c r="A145" i="30"/>
  <c r="A144" i="30"/>
  <c r="A143" i="30"/>
  <c r="I142" i="30"/>
  <c r="A142" i="30"/>
  <c r="I141" i="30"/>
  <c r="A141" i="30"/>
  <c r="I140" i="30"/>
  <c r="A140" i="30"/>
  <c r="I139" i="30"/>
  <c r="A139" i="30"/>
  <c r="J138" i="30"/>
  <c r="A138" i="30"/>
  <c r="I137" i="30"/>
  <c r="A137" i="30"/>
  <c r="I136" i="30"/>
  <c r="A136" i="30"/>
  <c r="I135" i="30"/>
  <c r="A135" i="30"/>
  <c r="I134" i="30"/>
  <c r="A134" i="30"/>
  <c r="I133" i="30"/>
  <c r="A133" i="30"/>
  <c r="I132" i="30"/>
  <c r="A132" i="30"/>
  <c r="I131" i="30"/>
  <c r="A131" i="30"/>
  <c r="I130" i="30"/>
  <c r="A130" i="30"/>
  <c r="I129" i="30"/>
  <c r="A129" i="30"/>
  <c r="I128" i="30"/>
  <c r="A128" i="30"/>
  <c r="A127" i="30"/>
  <c r="A126" i="30"/>
  <c r="I125" i="30"/>
  <c r="A125" i="30"/>
  <c r="I124" i="30"/>
  <c r="A124" i="30"/>
  <c r="I123" i="30"/>
  <c r="A123" i="30"/>
  <c r="I122" i="30"/>
  <c r="A122" i="30"/>
  <c r="I121" i="30"/>
  <c r="A121" i="30"/>
  <c r="I120" i="30"/>
  <c r="A120" i="30"/>
  <c r="I119" i="30"/>
  <c r="A119" i="30"/>
  <c r="I118" i="30"/>
  <c r="A118" i="30"/>
  <c r="I117" i="30"/>
  <c r="A117" i="30"/>
  <c r="I116" i="30"/>
  <c r="A116" i="30"/>
  <c r="I115" i="30"/>
  <c r="A115" i="30"/>
  <c r="I114" i="30"/>
  <c r="A114" i="30"/>
  <c r="I113" i="30"/>
  <c r="A113" i="30"/>
  <c r="I112" i="30"/>
  <c r="A112" i="30"/>
  <c r="A111" i="30"/>
  <c r="A110" i="30"/>
  <c r="I109" i="30"/>
  <c r="A109" i="30"/>
  <c r="I108" i="30"/>
  <c r="A108" i="30"/>
  <c r="I107" i="30"/>
  <c r="A107" i="30"/>
  <c r="I106" i="30"/>
  <c r="A106" i="30"/>
  <c r="I105" i="30"/>
  <c r="A105" i="30"/>
  <c r="I104" i="30"/>
  <c r="A104" i="30"/>
  <c r="I103" i="30"/>
  <c r="A103" i="30"/>
  <c r="I102" i="30"/>
  <c r="A102" i="30"/>
  <c r="I101" i="30"/>
  <c r="A101" i="30"/>
  <c r="I100" i="30"/>
  <c r="A100" i="30"/>
  <c r="I99" i="30"/>
  <c r="A99" i="30"/>
  <c r="I98" i="30"/>
  <c r="A98" i="30"/>
  <c r="I97" i="30"/>
  <c r="A97" i="30"/>
  <c r="I96" i="30"/>
  <c r="A96" i="30"/>
  <c r="I95" i="30"/>
  <c r="A95" i="30"/>
  <c r="I94" i="30"/>
  <c r="A94" i="30"/>
  <c r="I93" i="30"/>
  <c r="A93" i="30"/>
  <c r="I92" i="30"/>
  <c r="A92" i="30"/>
  <c r="A91" i="30"/>
  <c r="I90" i="30"/>
  <c r="A90" i="30"/>
  <c r="I89" i="30"/>
  <c r="A89" i="30"/>
  <c r="I88" i="30"/>
  <c r="A88" i="30"/>
  <c r="I87" i="30"/>
  <c r="A87" i="30"/>
  <c r="I86" i="30"/>
  <c r="A86" i="30"/>
  <c r="I85" i="30"/>
  <c r="A85" i="30"/>
  <c r="I84" i="30"/>
  <c r="A84" i="30"/>
  <c r="I83" i="30"/>
  <c r="A83" i="30"/>
  <c r="I82" i="30"/>
  <c r="A82" i="30"/>
  <c r="A81" i="30"/>
  <c r="A80" i="30"/>
  <c r="I79" i="30"/>
  <c r="A79" i="30"/>
  <c r="I78" i="30"/>
  <c r="A78" i="30"/>
  <c r="I77" i="30"/>
  <c r="A77" i="30"/>
  <c r="I76" i="30"/>
  <c r="A76" i="30"/>
  <c r="I75" i="30"/>
  <c r="A75" i="30"/>
  <c r="I74" i="30"/>
  <c r="A74" i="30"/>
  <c r="I73" i="30"/>
  <c r="A73" i="30"/>
  <c r="I72" i="30"/>
  <c r="A72" i="30"/>
  <c r="I71" i="30"/>
  <c r="A71" i="30"/>
  <c r="I70" i="30"/>
  <c r="A70" i="30"/>
  <c r="I69" i="30"/>
  <c r="A69" i="30"/>
  <c r="I68" i="30"/>
  <c r="A68" i="30"/>
  <c r="I67" i="30"/>
  <c r="A67" i="30"/>
  <c r="I66" i="30"/>
  <c r="A66" i="30"/>
  <c r="A65" i="30"/>
  <c r="A64" i="30"/>
  <c r="I63" i="30"/>
  <c r="I24" i="32" s="1"/>
  <c r="A63" i="30"/>
  <c r="I62" i="30"/>
  <c r="A62" i="30"/>
  <c r="I61" i="30"/>
  <c r="A61" i="30"/>
  <c r="I60" i="30"/>
  <c r="A60" i="30"/>
  <c r="I59" i="30"/>
  <c r="A59" i="30"/>
  <c r="I58" i="30"/>
  <c r="A58" i="30"/>
  <c r="I57" i="30"/>
  <c r="A57" i="30"/>
  <c r="I56" i="30"/>
  <c r="A56" i="30"/>
  <c r="I55" i="30"/>
  <c r="A55" i="30"/>
  <c r="A54" i="30"/>
  <c r="I53" i="30"/>
  <c r="I20" i="32" s="1"/>
  <c r="A53" i="30"/>
  <c r="I52" i="30"/>
  <c r="A52" i="30"/>
  <c r="I51" i="30"/>
  <c r="I18" i="32" s="1"/>
  <c r="A51" i="30"/>
  <c r="I50" i="30"/>
  <c r="A50" i="30"/>
  <c r="I49" i="30"/>
  <c r="A49" i="30"/>
  <c r="A48" i="30"/>
  <c r="I47" i="30"/>
  <c r="A47" i="30"/>
  <c r="A46" i="30"/>
  <c r="I45" i="30"/>
  <c r="A45" i="30"/>
  <c r="I44" i="30"/>
  <c r="A44" i="30"/>
  <c r="I43" i="30"/>
  <c r="A43" i="30"/>
  <c r="A42" i="30"/>
  <c r="I41" i="30"/>
  <c r="A41" i="30"/>
  <c r="A40" i="30"/>
  <c r="I39" i="30"/>
  <c r="A39" i="30"/>
  <c r="I38" i="30"/>
  <c r="A38" i="30"/>
  <c r="I37" i="30"/>
  <c r="I21" i="32" s="1"/>
  <c r="A37" i="30"/>
  <c r="I36" i="30"/>
  <c r="A36" i="30"/>
  <c r="I35" i="30"/>
  <c r="A35" i="30"/>
  <c r="I34" i="30"/>
  <c r="A34" i="30"/>
  <c r="I33" i="30"/>
  <c r="A33" i="30"/>
  <c r="A32" i="30"/>
  <c r="A31" i="30"/>
  <c r="I30" i="30"/>
  <c r="A30" i="30"/>
  <c r="I29" i="30"/>
  <c r="A29" i="30"/>
  <c r="A28" i="30"/>
  <c r="A27" i="30"/>
  <c r="J26" i="30"/>
  <c r="I26" i="30" s="1"/>
  <c r="A26" i="30"/>
  <c r="J25" i="30"/>
  <c r="I25" i="30" s="1"/>
  <c r="A25" i="30"/>
  <c r="J24" i="30"/>
  <c r="I24" i="30" s="1"/>
  <c r="A24" i="30"/>
  <c r="J23" i="30"/>
  <c r="I23" i="30" s="1"/>
  <c r="A23" i="30"/>
  <c r="J22" i="30"/>
  <c r="I22" i="30" s="1"/>
  <c r="A22" i="30"/>
  <c r="J21" i="30"/>
  <c r="I21" i="30" s="1"/>
  <c r="A21" i="30"/>
  <c r="J20" i="30"/>
  <c r="I20" i="30" s="1"/>
  <c r="A20" i="30"/>
  <c r="J19" i="30"/>
  <c r="I19" i="30" s="1"/>
  <c r="A19" i="30"/>
  <c r="J18" i="30"/>
  <c r="I18" i="30" s="1"/>
  <c r="A18" i="30"/>
  <c r="J17" i="30"/>
  <c r="I17" i="30" s="1"/>
  <c r="A17" i="30"/>
  <c r="J16" i="30"/>
  <c r="I16" i="30" s="1"/>
  <c r="A16" i="30"/>
  <c r="J15" i="30"/>
  <c r="I15" i="30" s="1"/>
  <c r="A15" i="30"/>
  <c r="J14" i="30"/>
  <c r="I14" i="30" s="1"/>
  <c r="A14" i="30"/>
  <c r="J13" i="30"/>
  <c r="A13" i="30"/>
  <c r="A12" i="30"/>
  <c r="A11" i="30"/>
  <c r="J10" i="30"/>
  <c r="A10" i="30"/>
  <c r="I9" i="30"/>
  <c r="A9" i="30"/>
  <c r="I8" i="30"/>
  <c r="A8" i="30"/>
  <c r="I7" i="30"/>
  <c r="A7" i="30"/>
  <c r="I6" i="30"/>
  <c r="H15" i="35" s="1"/>
  <c r="A6" i="30"/>
  <c r="I5" i="30"/>
  <c r="A5" i="30"/>
  <c r="I4" i="30"/>
  <c r="A4" i="30"/>
  <c r="R7" i="32" l="1"/>
  <c r="I14" i="32"/>
  <c r="I23" i="32"/>
  <c r="I15" i="32"/>
  <c r="I13" i="30"/>
  <c r="H17" i="35" s="1"/>
  <c r="L17" i="35"/>
  <c r="I10" i="30"/>
  <c r="H14" i="35" s="1"/>
  <c r="L14" i="35"/>
  <c r="K170" i="30"/>
  <c r="I25" i="32"/>
  <c r="J25" i="32" s="1"/>
  <c r="I154" i="1"/>
  <c r="G35" i="1"/>
  <c r="I14" i="1"/>
  <c r="I31" i="1"/>
  <c r="I27" i="1"/>
  <c r="I60" i="1"/>
  <c r="I72" i="1"/>
  <c r="I90" i="1"/>
  <c r="I100" i="1"/>
  <c r="I110" i="1"/>
  <c r="I122" i="1"/>
  <c r="I133" i="1"/>
  <c r="I145" i="1"/>
  <c r="I15" i="1"/>
  <c r="I32" i="1"/>
  <c r="I44" i="1"/>
  <c r="I63" i="1"/>
  <c r="I73" i="1"/>
  <c r="I91" i="1"/>
  <c r="I101" i="1"/>
  <c r="I111" i="1"/>
  <c r="I123" i="1"/>
  <c r="I134" i="1"/>
  <c r="I146" i="1"/>
  <c r="I16" i="1"/>
  <c r="I33" i="1"/>
  <c r="I47" i="1"/>
  <c r="I64" i="1"/>
  <c r="I74" i="1"/>
  <c r="I92" i="1"/>
  <c r="I102" i="1"/>
  <c r="I114" i="1"/>
  <c r="I124" i="1"/>
  <c r="I135" i="1"/>
  <c r="I147" i="1"/>
  <c r="I17" i="1"/>
  <c r="I35" i="1"/>
  <c r="I48" i="1"/>
  <c r="I65" i="1"/>
  <c r="I75" i="1"/>
  <c r="I93" i="1"/>
  <c r="I103" i="1"/>
  <c r="I115" i="1"/>
  <c r="I125" i="1"/>
  <c r="I136" i="1"/>
  <c r="I148" i="1"/>
  <c r="I18" i="1"/>
  <c r="I36" i="1"/>
  <c r="I55" i="1"/>
  <c r="I67" i="1"/>
  <c r="I76" i="1"/>
  <c r="I94" i="1"/>
  <c r="I104" i="1"/>
  <c r="I116" i="1"/>
  <c r="I126" i="1"/>
  <c r="I139" i="1"/>
  <c r="I149" i="1"/>
  <c r="I19" i="1"/>
  <c r="I37" i="1"/>
  <c r="I56" i="1"/>
  <c r="I68" i="1"/>
  <c r="I77" i="1"/>
  <c r="I95" i="1"/>
  <c r="I105" i="1"/>
  <c r="I117" i="1"/>
  <c r="I128" i="1"/>
  <c r="I140" i="1"/>
  <c r="I152" i="1"/>
  <c r="I20" i="1"/>
  <c r="I38" i="1"/>
  <c r="I50" i="1"/>
  <c r="I69" i="1"/>
  <c r="I78" i="1"/>
  <c r="I96" i="1"/>
  <c r="I108" i="1"/>
  <c r="I118" i="1"/>
  <c r="I129" i="1"/>
  <c r="I141" i="1"/>
  <c r="I153" i="1"/>
  <c r="I13" i="1"/>
  <c r="I21" i="1"/>
  <c r="I29" i="1"/>
  <c r="I59" i="1"/>
  <c r="I71" i="1"/>
  <c r="I89" i="1"/>
  <c r="I99" i="1"/>
  <c r="I109" i="1"/>
  <c r="I121" i="1"/>
  <c r="I132" i="1"/>
  <c r="I142" i="1"/>
  <c r="I51" i="1"/>
  <c r="I34" i="1"/>
  <c r="I53" i="1"/>
  <c r="I127" i="1"/>
  <c r="I54" i="1"/>
  <c r="I61" i="1"/>
  <c r="I70" i="1"/>
  <c r="I58" i="1"/>
  <c r="I62" i="1"/>
  <c r="I138" i="30"/>
  <c r="K32" i="30"/>
  <c r="K173" i="30" s="1"/>
  <c r="L170" i="30"/>
  <c r="L32" i="30"/>
  <c r="H13" i="35" l="1"/>
  <c r="AC7" i="32"/>
  <c r="S34" i="32"/>
  <c r="J27" i="32"/>
  <c r="N27" i="32" s="1"/>
  <c r="L18" i="35"/>
  <c r="L21" i="35" s="1"/>
  <c r="H18" i="35"/>
  <c r="H21" i="35" s="1"/>
  <c r="J17" i="32"/>
  <c r="O17" i="32" s="1"/>
  <c r="R34" i="32"/>
  <c r="J18" i="32"/>
  <c r="J16" i="32"/>
  <c r="J19" i="32"/>
  <c r="N25" i="32"/>
  <c r="O25" i="32"/>
  <c r="I34" i="32"/>
  <c r="J20" i="32"/>
  <c r="J29" i="32"/>
  <c r="J26" i="32"/>
  <c r="J22" i="32"/>
  <c r="J24" i="32"/>
  <c r="J33" i="32"/>
  <c r="J21" i="32"/>
  <c r="J14" i="32"/>
  <c r="J31" i="32"/>
  <c r="J30" i="32"/>
  <c r="J23" i="32"/>
  <c r="J28" i="32"/>
  <c r="J32" i="32"/>
  <c r="J15" i="32"/>
  <c r="I143" i="1"/>
  <c r="I150" i="1"/>
  <c r="I112" i="1"/>
  <c r="I137" i="1"/>
  <c r="I119" i="1"/>
  <c r="I130" i="1"/>
  <c r="L173" i="30"/>
  <c r="N17" i="32" l="1"/>
  <c r="AC17" i="32" s="1"/>
  <c r="O27" i="32"/>
  <c r="P27" i="32"/>
  <c r="H39" i="35" s="1"/>
  <c r="AC27" i="32"/>
  <c r="Q25" i="32"/>
  <c r="L37" i="35" s="1"/>
  <c r="AG25" i="32"/>
  <c r="P25" i="32"/>
  <c r="AC25" i="32"/>
  <c r="P17" i="32"/>
  <c r="Q27" i="32"/>
  <c r="L39" i="35" s="1"/>
  <c r="AG27" i="32"/>
  <c r="Q17" i="32"/>
  <c r="L27" i="35" s="1"/>
  <c r="AG17" i="32"/>
  <c r="N33" i="32"/>
  <c r="O33" i="32"/>
  <c r="N30" i="32"/>
  <c r="O30" i="32"/>
  <c r="N22" i="32"/>
  <c r="O22" i="32"/>
  <c r="O31" i="32"/>
  <c r="N31" i="32"/>
  <c r="N26" i="32"/>
  <c r="O26" i="32"/>
  <c r="N19" i="32"/>
  <c r="O19" i="32"/>
  <c r="O23" i="32"/>
  <c r="N23" i="32"/>
  <c r="O14" i="32"/>
  <c r="AG14" i="32" s="1"/>
  <c r="J34" i="32"/>
  <c r="N14" i="32"/>
  <c r="AC14" i="32" s="1"/>
  <c r="O29" i="32"/>
  <c r="N29" i="32"/>
  <c r="N16" i="32"/>
  <c r="O16" i="32"/>
  <c r="N21" i="32"/>
  <c r="O21" i="32"/>
  <c r="O20" i="32"/>
  <c r="N20" i="32"/>
  <c r="N18" i="32"/>
  <c r="O18" i="32"/>
  <c r="O32" i="32"/>
  <c r="N32" i="32"/>
  <c r="N28" i="32"/>
  <c r="O28" i="32"/>
  <c r="O24" i="32"/>
  <c r="N24" i="32"/>
  <c r="O15" i="32"/>
  <c r="N15" i="32"/>
  <c r="AK151" i="31"/>
  <c r="AK149" i="31"/>
  <c r="AK148" i="31"/>
  <c r="AK147" i="31"/>
  <c r="AK145" i="31"/>
  <c r="AK143" i="31"/>
  <c r="AK142" i="31"/>
  <c r="AK141" i="31"/>
  <c r="AK139" i="31"/>
  <c r="AK138" i="31"/>
  <c r="AK137" i="31"/>
  <c r="AK136" i="31"/>
  <c r="AK134" i="31"/>
  <c r="AK133" i="31"/>
  <c r="AK131" i="31"/>
  <c r="AK130" i="31"/>
  <c r="AK129" i="31"/>
  <c r="AK128" i="31"/>
  <c r="AK127" i="31"/>
  <c r="AK125" i="31"/>
  <c r="AK123" i="31"/>
  <c r="AK122" i="31"/>
  <c r="AK121" i="31"/>
  <c r="AK119" i="31"/>
  <c r="AK118" i="31"/>
  <c r="AK117" i="31"/>
  <c r="AK116" i="31"/>
  <c r="AK115" i="31"/>
  <c r="AK114" i="31"/>
  <c r="AK113" i="31"/>
  <c r="AK112" i="31"/>
  <c r="AK108" i="31"/>
  <c r="AK107" i="31"/>
  <c r="AK106" i="31"/>
  <c r="AK105" i="31"/>
  <c r="AK104" i="31"/>
  <c r="AK103" i="31"/>
  <c r="AK102" i="31"/>
  <c r="AK100" i="31"/>
  <c r="AK98" i="31"/>
  <c r="AK97" i="31"/>
  <c r="AK96" i="31"/>
  <c r="AK93" i="31"/>
  <c r="AK92" i="31"/>
  <c r="AK90" i="31"/>
  <c r="AK89" i="31"/>
  <c r="AK87" i="31"/>
  <c r="AK86" i="31"/>
  <c r="AK85" i="31"/>
  <c r="AK84" i="31"/>
  <c r="AK83" i="31"/>
  <c r="AK82" i="31"/>
  <c r="AK81" i="31"/>
  <c r="AK80" i="31"/>
  <c r="AK79" i="31"/>
  <c r="AK76" i="31"/>
  <c r="AK73" i="31"/>
  <c r="AK71" i="31"/>
  <c r="AK69" i="31"/>
  <c r="AK68" i="31"/>
  <c r="AK66" i="31"/>
  <c r="AK65" i="31"/>
  <c r="AK63" i="31"/>
  <c r="AK61" i="31"/>
  <c r="AK59" i="31"/>
  <c r="AK58" i="31"/>
  <c r="AK56" i="31"/>
  <c r="AK55" i="31"/>
  <c r="AK53" i="31"/>
  <c r="AK51" i="31"/>
  <c r="AK49" i="31"/>
  <c r="AK48" i="31"/>
  <c r="AK46" i="31"/>
  <c r="AK45" i="31"/>
  <c r="AK43" i="31"/>
  <c r="AK42" i="31"/>
  <c r="AK38" i="31"/>
  <c r="AK31" i="31"/>
  <c r="AK27" i="31"/>
  <c r="AK26" i="31"/>
  <c r="AK25" i="31"/>
  <c r="AK14" i="31"/>
  <c r="AK12" i="31"/>
  <c r="AK11" i="31"/>
  <c r="AK10" i="31"/>
  <c r="AK9" i="31"/>
  <c r="AK8" i="31"/>
  <c r="AK7" i="31"/>
  <c r="AK5" i="31"/>
  <c r="AK4" i="31"/>
  <c r="AK3" i="31"/>
  <c r="AK2" i="31"/>
  <c r="AJ25" i="31"/>
  <c r="B152" i="31"/>
  <c r="B151" i="31"/>
  <c r="B149" i="31"/>
  <c r="B148" i="31"/>
  <c r="B147" i="31"/>
  <c r="B145" i="31"/>
  <c r="B144" i="31"/>
  <c r="B143" i="31"/>
  <c r="B142" i="31"/>
  <c r="B141" i="31"/>
  <c r="B140" i="31"/>
  <c r="B139" i="31"/>
  <c r="B138" i="31"/>
  <c r="B137" i="31"/>
  <c r="B136" i="31"/>
  <c r="B134" i="31"/>
  <c r="B133" i="31"/>
  <c r="B132" i="31"/>
  <c r="B131" i="31"/>
  <c r="B130" i="31"/>
  <c r="B129" i="31"/>
  <c r="B128" i="31"/>
  <c r="B127" i="31"/>
  <c r="B126" i="31"/>
  <c r="B125" i="31"/>
  <c r="B123" i="31"/>
  <c r="B122" i="31"/>
  <c r="B121" i="31"/>
  <c r="B120" i="31"/>
  <c r="B119" i="31"/>
  <c r="B118" i="31"/>
  <c r="B117" i="31"/>
  <c r="B116" i="31"/>
  <c r="B115" i="31"/>
  <c r="B114" i="31"/>
  <c r="B113" i="31"/>
  <c r="B112" i="31"/>
  <c r="B110" i="31"/>
  <c r="B109" i="31"/>
  <c r="B108" i="31"/>
  <c r="B107" i="31"/>
  <c r="B106" i="31"/>
  <c r="B105" i="31"/>
  <c r="B104" i="31"/>
  <c r="B103" i="31"/>
  <c r="B102" i="31"/>
  <c r="B101" i="31"/>
  <c r="B100" i="31"/>
  <c r="B99" i="31"/>
  <c r="B98" i="31"/>
  <c r="B97" i="31"/>
  <c r="B96" i="31"/>
  <c r="B93" i="31"/>
  <c r="B92" i="31"/>
  <c r="B90" i="31"/>
  <c r="B89" i="31"/>
  <c r="B87" i="31"/>
  <c r="B86" i="31"/>
  <c r="B85" i="31"/>
  <c r="B84" i="31"/>
  <c r="B83" i="31"/>
  <c r="B82" i="31"/>
  <c r="B81" i="31"/>
  <c r="B80" i="31"/>
  <c r="B79" i="31"/>
  <c r="B77" i="31"/>
  <c r="B76" i="31"/>
  <c r="B75" i="31"/>
  <c r="B74" i="31"/>
  <c r="B73" i="31"/>
  <c r="B71" i="31"/>
  <c r="B70" i="31"/>
  <c r="B69" i="31"/>
  <c r="B68" i="31"/>
  <c r="B67" i="31"/>
  <c r="B66" i="31"/>
  <c r="B65" i="31"/>
  <c r="B64" i="31"/>
  <c r="B63" i="31"/>
  <c r="B61" i="31"/>
  <c r="B60" i="31"/>
  <c r="B59" i="31"/>
  <c r="B58" i="31"/>
  <c r="B57" i="31"/>
  <c r="B56" i="31"/>
  <c r="B55" i="31"/>
  <c r="B54" i="31"/>
  <c r="B53" i="31"/>
  <c r="B51" i="31"/>
  <c r="B50" i="31"/>
  <c r="B49" i="31"/>
  <c r="B48" i="31"/>
  <c r="B47" i="31"/>
  <c r="B46" i="31"/>
  <c r="B45" i="31"/>
  <c r="B44" i="31"/>
  <c r="B43" i="31"/>
  <c r="B42" i="31"/>
  <c r="B40" i="31"/>
  <c r="B39" i="31"/>
  <c r="B38" i="31"/>
  <c r="B37" i="31"/>
  <c r="B36" i="31"/>
  <c r="B35" i="31"/>
  <c r="B34" i="31"/>
  <c r="B33" i="31"/>
  <c r="B32" i="31"/>
  <c r="B31" i="31"/>
  <c r="B30" i="31"/>
  <c r="B29" i="31"/>
  <c r="B28" i="31"/>
  <c r="B27" i="31"/>
  <c r="B26" i="31"/>
  <c r="B21" i="31"/>
  <c r="B20" i="31"/>
  <c r="B19" i="31"/>
  <c r="B18" i="31"/>
  <c r="B17" i="31"/>
  <c r="B16" i="31"/>
  <c r="B15" i="31"/>
  <c r="B12" i="31"/>
  <c r="B11" i="31"/>
  <c r="B10" i="31"/>
  <c r="B9" i="31"/>
  <c r="B8" i="31"/>
  <c r="B5" i="31"/>
  <c r="W153" i="31"/>
  <c r="V153" i="31"/>
  <c r="T153" i="31"/>
  <c r="S153" i="31"/>
  <c r="R153" i="31"/>
  <c r="Q153" i="31"/>
  <c r="P153" i="31"/>
  <c r="O153" i="31"/>
  <c r="M153" i="31"/>
  <c r="J153" i="31"/>
  <c r="H153" i="31"/>
  <c r="G153" i="31"/>
  <c r="U152" i="31"/>
  <c r="U153" i="31" s="1"/>
  <c r="N152" i="31"/>
  <c r="N153" i="31" s="1"/>
  <c r="L152" i="31"/>
  <c r="L153" i="31" s="1"/>
  <c r="K152" i="31"/>
  <c r="K153" i="31" s="1"/>
  <c r="I152" i="31"/>
  <c r="I153" i="31" s="1"/>
  <c r="F152" i="31"/>
  <c r="F153" i="31" s="1"/>
  <c r="X151" i="31"/>
  <c r="Y151" i="31" s="1"/>
  <c r="W150" i="31"/>
  <c r="V150" i="31"/>
  <c r="U150" i="31"/>
  <c r="T150" i="31"/>
  <c r="S150" i="31"/>
  <c r="R150" i="31"/>
  <c r="Q150" i="31"/>
  <c r="P150" i="31"/>
  <c r="O150" i="31"/>
  <c r="N150" i="31"/>
  <c r="M150" i="31"/>
  <c r="L150" i="31"/>
  <c r="K150" i="31"/>
  <c r="J150" i="31"/>
  <c r="I150" i="31"/>
  <c r="H150" i="31"/>
  <c r="G150" i="31"/>
  <c r="F149" i="31"/>
  <c r="X149" i="31" s="1"/>
  <c r="Y149" i="31" s="1"/>
  <c r="F148" i="31"/>
  <c r="X147" i="31"/>
  <c r="Y147" i="31" s="1"/>
  <c r="AJ147" i="31" s="1"/>
  <c r="W146" i="31"/>
  <c r="V146" i="31"/>
  <c r="U146" i="31"/>
  <c r="T146" i="31"/>
  <c r="S146" i="31"/>
  <c r="R146" i="31"/>
  <c r="Q146" i="31"/>
  <c r="P146" i="31"/>
  <c r="O146" i="31"/>
  <c r="N146" i="31"/>
  <c r="L146" i="31"/>
  <c r="K146" i="31"/>
  <c r="J146" i="31"/>
  <c r="I146" i="31"/>
  <c r="H146" i="31"/>
  <c r="G146" i="31"/>
  <c r="X145" i="31"/>
  <c r="Y145" i="31" s="1"/>
  <c r="AJ145" i="31" s="1"/>
  <c r="F145" i="31"/>
  <c r="M144" i="31"/>
  <c r="AK144" i="31" s="1"/>
  <c r="F144" i="31"/>
  <c r="X144" i="31" s="1"/>
  <c r="Y144" i="31" s="1"/>
  <c r="F143" i="31"/>
  <c r="X143" i="31" s="1"/>
  <c r="Y143" i="31" s="1"/>
  <c r="AJ143" i="31" s="1"/>
  <c r="F142" i="31"/>
  <c r="X142" i="31" s="1"/>
  <c r="Y142" i="31" s="1"/>
  <c r="AJ142" i="31" s="1"/>
  <c r="F141" i="31"/>
  <c r="X141" i="31" s="1"/>
  <c r="Y141" i="31" s="1"/>
  <c r="M140" i="31"/>
  <c r="AK140" i="31" s="1"/>
  <c r="F140" i="31"/>
  <c r="F139" i="31"/>
  <c r="X139" i="31" s="1"/>
  <c r="Y139" i="31" s="1"/>
  <c r="AJ139" i="31" s="1"/>
  <c r="F138" i="31"/>
  <c r="X138" i="31" s="1"/>
  <c r="Y138" i="31" s="1"/>
  <c r="AJ138" i="31" s="1"/>
  <c r="F137" i="31"/>
  <c r="X137" i="31" s="1"/>
  <c r="Y137" i="31" s="1"/>
  <c r="AJ137" i="31" s="1"/>
  <c r="X136" i="31"/>
  <c r="Y136" i="31" s="1"/>
  <c r="AJ136" i="31" s="1"/>
  <c r="W135" i="31"/>
  <c r="V135" i="31"/>
  <c r="U135" i="31"/>
  <c r="T135" i="31"/>
  <c r="S135" i="31"/>
  <c r="R135" i="31"/>
  <c r="Q135" i="31"/>
  <c r="P135" i="31"/>
  <c r="O135" i="31"/>
  <c r="N135" i="31"/>
  <c r="K135" i="31"/>
  <c r="J135" i="31"/>
  <c r="I135" i="31"/>
  <c r="G135" i="31"/>
  <c r="F134" i="31"/>
  <c r="X134" i="31" s="1"/>
  <c r="Y134" i="31" s="1"/>
  <c r="AJ134" i="31" s="1"/>
  <c r="X133" i="31"/>
  <c r="Y133" i="31" s="1"/>
  <c r="F133" i="31"/>
  <c r="M132" i="31"/>
  <c r="M135" i="31" s="1"/>
  <c r="F131" i="31"/>
  <c r="X131" i="31" s="1"/>
  <c r="Y131" i="31" s="1"/>
  <c r="AJ131" i="31" s="1"/>
  <c r="H130" i="31"/>
  <c r="H135" i="31" s="1"/>
  <c r="F130" i="31"/>
  <c r="F129" i="31"/>
  <c r="X129" i="31" s="1"/>
  <c r="Y129" i="31" s="1"/>
  <c r="AJ129" i="31" s="1"/>
  <c r="F128" i="31"/>
  <c r="X128" i="31" s="1"/>
  <c r="Y128" i="31" s="1"/>
  <c r="AJ128" i="31" s="1"/>
  <c r="X127" i="31"/>
  <c r="Y127" i="31" s="1"/>
  <c r="AJ127" i="31" s="1"/>
  <c r="F127" i="31"/>
  <c r="L126" i="31"/>
  <c r="L135" i="31" s="1"/>
  <c r="F126" i="31"/>
  <c r="X125" i="31"/>
  <c r="Y125" i="31" s="1"/>
  <c r="W124" i="31"/>
  <c r="V124" i="31"/>
  <c r="U124" i="31"/>
  <c r="T124" i="31"/>
  <c r="S124" i="31"/>
  <c r="R124" i="31"/>
  <c r="Q124" i="31"/>
  <c r="P124" i="31"/>
  <c r="O124" i="31"/>
  <c r="N124" i="31"/>
  <c r="M124" i="31"/>
  <c r="L124" i="31"/>
  <c r="K124" i="31"/>
  <c r="J124" i="31"/>
  <c r="I124" i="31"/>
  <c r="H124" i="31"/>
  <c r="G124" i="31"/>
  <c r="F123" i="31"/>
  <c r="X123" i="31" s="1"/>
  <c r="Y123" i="31" s="1"/>
  <c r="AJ123" i="31" s="1"/>
  <c r="X122" i="31"/>
  <c r="Y122" i="31" s="1"/>
  <c r="AJ122" i="31" s="1"/>
  <c r="F122" i="31"/>
  <c r="F121" i="31"/>
  <c r="X121" i="31" s="1"/>
  <c r="Y121" i="31" s="1"/>
  <c r="M120" i="31"/>
  <c r="X120" i="31" s="1"/>
  <c r="Y120" i="31" s="1"/>
  <c r="F119" i="31"/>
  <c r="X119" i="31" s="1"/>
  <c r="Y119" i="31" s="1"/>
  <c r="AJ119" i="31" s="1"/>
  <c r="F118" i="31"/>
  <c r="X118" i="31" s="1"/>
  <c r="Y118" i="31" s="1"/>
  <c r="AJ118" i="31" s="1"/>
  <c r="F117" i="31"/>
  <c r="X117" i="31" s="1"/>
  <c r="Y117" i="31" s="1"/>
  <c r="F116" i="31"/>
  <c r="X116" i="31" s="1"/>
  <c r="Y116" i="31" s="1"/>
  <c r="AJ116" i="31" s="1"/>
  <c r="F115" i="31"/>
  <c r="X115" i="31" s="1"/>
  <c r="Y115" i="31" s="1"/>
  <c r="AJ115" i="31" s="1"/>
  <c r="F114" i="31"/>
  <c r="X114" i="31" s="1"/>
  <c r="Y114" i="31" s="1"/>
  <c r="AJ114" i="31" s="1"/>
  <c r="F113" i="31"/>
  <c r="X112" i="31"/>
  <c r="Y112" i="31" s="1"/>
  <c r="AJ112" i="31" s="1"/>
  <c r="W111" i="31"/>
  <c r="V111" i="31"/>
  <c r="T111" i="31"/>
  <c r="S111" i="31"/>
  <c r="R111" i="31"/>
  <c r="P111" i="31"/>
  <c r="O111" i="31"/>
  <c r="N111" i="31"/>
  <c r="M111" i="31"/>
  <c r="K111" i="31"/>
  <c r="I111" i="31"/>
  <c r="H111" i="31"/>
  <c r="G111" i="31"/>
  <c r="L110" i="31"/>
  <c r="J110" i="31"/>
  <c r="F110" i="31"/>
  <c r="L109" i="31"/>
  <c r="AK109" i="31" s="1"/>
  <c r="F109" i="31"/>
  <c r="F108" i="31"/>
  <c r="X108" i="31" s="1"/>
  <c r="Y108" i="31" s="1"/>
  <c r="AJ108" i="31" s="1"/>
  <c r="F107" i="31"/>
  <c r="X107" i="31" s="1"/>
  <c r="Y107" i="31" s="1"/>
  <c r="AJ107" i="31" s="1"/>
  <c r="F106" i="31"/>
  <c r="X106" i="31" s="1"/>
  <c r="Y106" i="31" s="1"/>
  <c r="AJ106" i="31" s="1"/>
  <c r="X105" i="31"/>
  <c r="Y105" i="31" s="1"/>
  <c r="AJ105" i="31" s="1"/>
  <c r="F105" i="31"/>
  <c r="F104" i="31"/>
  <c r="X104" i="31" s="1"/>
  <c r="Y104" i="31" s="1"/>
  <c r="AJ104" i="31" s="1"/>
  <c r="F103" i="31"/>
  <c r="X103" i="31" s="1"/>
  <c r="Y103" i="31" s="1"/>
  <c r="AJ103" i="31" s="1"/>
  <c r="J102" i="31"/>
  <c r="F102" i="31"/>
  <c r="X102" i="31" s="1"/>
  <c r="Y102" i="31" s="1"/>
  <c r="AJ102" i="31" s="1"/>
  <c r="U101" i="31"/>
  <c r="U111" i="31" s="1"/>
  <c r="F101" i="31"/>
  <c r="X100" i="31"/>
  <c r="Y100" i="31" s="1"/>
  <c r="AJ100" i="31" s="1"/>
  <c r="F100" i="31"/>
  <c r="Q99" i="31"/>
  <c r="Q111" i="31" s="1"/>
  <c r="F99" i="31"/>
  <c r="X98" i="31"/>
  <c r="Y98" i="31" s="1"/>
  <c r="AJ98" i="31" s="1"/>
  <c r="F98" i="31"/>
  <c r="F97" i="31"/>
  <c r="X96" i="31"/>
  <c r="Y96" i="31" s="1"/>
  <c r="AJ96" i="31" s="1"/>
  <c r="W94" i="31"/>
  <c r="V94" i="31"/>
  <c r="U94" i="31"/>
  <c r="T94" i="31"/>
  <c r="S94" i="31"/>
  <c r="R94" i="31"/>
  <c r="Q94" i="31"/>
  <c r="P94" i="31"/>
  <c r="O94" i="31"/>
  <c r="N94" i="31"/>
  <c r="M94" i="31"/>
  <c r="L94" i="31"/>
  <c r="K94" i="31"/>
  <c r="J94" i="31"/>
  <c r="I94" i="31"/>
  <c r="H94" i="31"/>
  <c r="G94" i="31"/>
  <c r="AK94" i="31" s="1"/>
  <c r="F93" i="31"/>
  <c r="F94" i="31" s="1"/>
  <c r="X92" i="31"/>
  <c r="Y92" i="31" s="1"/>
  <c r="AJ92" i="31" s="1"/>
  <c r="W91" i="31"/>
  <c r="V91" i="31"/>
  <c r="U91" i="31"/>
  <c r="T91" i="31"/>
  <c r="S91" i="31"/>
  <c r="R91" i="31"/>
  <c r="Q91" i="31"/>
  <c r="P91" i="31"/>
  <c r="O91" i="31"/>
  <c r="N91" i="31"/>
  <c r="M91" i="31"/>
  <c r="L91" i="31"/>
  <c r="K91" i="31"/>
  <c r="J91" i="31"/>
  <c r="I91" i="31"/>
  <c r="H91" i="31"/>
  <c r="G91" i="31"/>
  <c r="AK91" i="31" s="1"/>
  <c r="F91" i="31"/>
  <c r="F90" i="31"/>
  <c r="X90" i="31" s="1"/>
  <c r="Y90" i="31" s="1"/>
  <c r="X89" i="31"/>
  <c r="Y89" i="31" s="1"/>
  <c r="AJ89" i="31" s="1"/>
  <c r="W88" i="31"/>
  <c r="V88" i="31"/>
  <c r="U88" i="31"/>
  <c r="T88" i="31"/>
  <c r="S88" i="31"/>
  <c r="R88" i="31"/>
  <c r="Q88" i="31"/>
  <c r="P88" i="31"/>
  <c r="O88" i="31"/>
  <c r="N88" i="31"/>
  <c r="M88" i="31"/>
  <c r="L88" i="31"/>
  <c r="K88" i="31"/>
  <c r="J88" i="31"/>
  <c r="I88" i="31"/>
  <c r="H88" i="31"/>
  <c r="G88" i="31"/>
  <c r="F87" i="31"/>
  <c r="X87" i="31" s="1"/>
  <c r="Y87" i="31" s="1"/>
  <c r="AJ87" i="31" s="1"/>
  <c r="F86" i="31"/>
  <c r="X86" i="31" s="1"/>
  <c r="Y86" i="31" s="1"/>
  <c r="AJ86" i="31" s="1"/>
  <c r="F85" i="31"/>
  <c r="X85" i="31" s="1"/>
  <c r="Y85" i="31" s="1"/>
  <c r="F84" i="31"/>
  <c r="X84" i="31" s="1"/>
  <c r="Y84" i="31" s="1"/>
  <c r="AJ84" i="31" s="1"/>
  <c r="F83" i="31"/>
  <c r="X83" i="31" s="1"/>
  <c r="Y83" i="31" s="1"/>
  <c r="AJ83" i="31" s="1"/>
  <c r="F82" i="31"/>
  <c r="X82" i="31" s="1"/>
  <c r="Y82" i="31" s="1"/>
  <c r="AJ82" i="31" s="1"/>
  <c r="F81" i="31"/>
  <c r="X81" i="31" s="1"/>
  <c r="Y81" i="31" s="1"/>
  <c r="F80" i="31"/>
  <c r="X80" i="31" s="1"/>
  <c r="Y80" i="31" s="1"/>
  <c r="AJ80" i="31" s="1"/>
  <c r="X79" i="31"/>
  <c r="Y79" i="31" s="1"/>
  <c r="AJ79" i="31" s="1"/>
  <c r="W78" i="31"/>
  <c r="V78" i="31"/>
  <c r="T78" i="31"/>
  <c r="S78" i="31"/>
  <c r="R78" i="31"/>
  <c r="Q78" i="31"/>
  <c r="P78" i="31"/>
  <c r="O78" i="31"/>
  <c r="N78" i="31"/>
  <c r="M78" i="31"/>
  <c r="L78" i="31"/>
  <c r="J78" i="31"/>
  <c r="I78" i="31"/>
  <c r="H78" i="31"/>
  <c r="U77" i="31"/>
  <c r="G77" i="31"/>
  <c r="AK77" i="31" s="1"/>
  <c r="F77" i="31"/>
  <c r="F76" i="31"/>
  <c r="X76" i="31" s="1"/>
  <c r="Y76" i="31" s="1"/>
  <c r="AJ76" i="31" s="1"/>
  <c r="U75" i="31"/>
  <c r="K75" i="31"/>
  <c r="AK75" i="31" s="1"/>
  <c r="F75" i="31"/>
  <c r="X75" i="31" s="1"/>
  <c r="Y75" i="31" s="1"/>
  <c r="AJ75" i="31" s="1"/>
  <c r="K74" i="31"/>
  <c r="K78" i="31" s="1"/>
  <c r="G74" i="31"/>
  <c r="AK74" i="31" s="1"/>
  <c r="F74" i="31"/>
  <c r="X73" i="31"/>
  <c r="Y73" i="31" s="1"/>
  <c r="AJ73" i="31" s="1"/>
  <c r="W72" i="31"/>
  <c r="V72" i="31"/>
  <c r="T72" i="31"/>
  <c r="S72" i="31"/>
  <c r="R72" i="31"/>
  <c r="Q72" i="31"/>
  <c r="P72" i="31"/>
  <c r="O72" i="31"/>
  <c r="M72" i="31"/>
  <c r="L72" i="31"/>
  <c r="J72" i="31"/>
  <c r="I72" i="31"/>
  <c r="H72" i="31"/>
  <c r="X71" i="31"/>
  <c r="Y71" i="31" s="1"/>
  <c r="AJ71" i="31" s="1"/>
  <c r="F71" i="31"/>
  <c r="U70" i="31"/>
  <c r="AK70" i="31" s="1"/>
  <c r="K70" i="31"/>
  <c r="G70" i="31"/>
  <c r="F70" i="31"/>
  <c r="F69" i="31"/>
  <c r="X69" i="31" s="1"/>
  <c r="Y69" i="31" s="1"/>
  <c r="F68" i="31"/>
  <c r="X68" i="31" s="1"/>
  <c r="Y68" i="31" s="1"/>
  <c r="AJ68" i="31" s="1"/>
  <c r="U67" i="31"/>
  <c r="K67" i="31"/>
  <c r="AK67" i="31" s="1"/>
  <c r="F67" i="31"/>
  <c r="F66" i="31"/>
  <c r="X66" i="31" s="1"/>
  <c r="Y66" i="31" s="1"/>
  <c r="X65" i="31"/>
  <c r="Y65" i="31" s="1"/>
  <c r="AJ65" i="31" s="1"/>
  <c r="F65" i="31"/>
  <c r="U64" i="31"/>
  <c r="N64" i="31"/>
  <c r="N72" i="31" s="1"/>
  <c r="K64" i="31"/>
  <c r="G64" i="31"/>
  <c r="G72" i="31" s="1"/>
  <c r="F64" i="31"/>
  <c r="X63" i="31"/>
  <c r="Y63" i="31" s="1"/>
  <c r="AJ63" i="31" s="1"/>
  <c r="W62" i="31"/>
  <c r="V62" i="31"/>
  <c r="T62" i="31"/>
  <c r="S62" i="31"/>
  <c r="R62" i="31"/>
  <c r="Q62" i="31"/>
  <c r="P62" i="31"/>
  <c r="O62" i="31"/>
  <c r="M62" i="31"/>
  <c r="L62" i="31"/>
  <c r="J62" i="31"/>
  <c r="I62" i="31"/>
  <c r="H62" i="31"/>
  <c r="F61" i="31"/>
  <c r="X61" i="31" s="1"/>
  <c r="Y61" i="31" s="1"/>
  <c r="U60" i="31"/>
  <c r="K60" i="31"/>
  <c r="G60" i="31"/>
  <c r="AK60" i="31" s="1"/>
  <c r="F60" i="31"/>
  <c r="F59" i="31"/>
  <c r="X59" i="31" s="1"/>
  <c r="Y59" i="31" s="1"/>
  <c r="AJ59" i="31" s="1"/>
  <c r="F58" i="31"/>
  <c r="X58" i="31" s="1"/>
  <c r="Y58" i="31" s="1"/>
  <c r="AJ58" i="31" s="1"/>
  <c r="U57" i="31"/>
  <c r="U62" i="31" s="1"/>
  <c r="K57" i="31"/>
  <c r="F57" i="31"/>
  <c r="F56" i="31"/>
  <c r="X56" i="31" s="1"/>
  <c r="Y56" i="31" s="1"/>
  <c r="AJ56" i="31" s="1"/>
  <c r="F55" i="31"/>
  <c r="X55" i="31" s="1"/>
  <c r="Y55" i="31" s="1"/>
  <c r="AJ55" i="31" s="1"/>
  <c r="U54" i="31"/>
  <c r="N54" i="31"/>
  <c r="N62" i="31" s="1"/>
  <c r="K54" i="31"/>
  <c r="G54" i="31"/>
  <c r="G62" i="31" s="1"/>
  <c r="F54" i="31"/>
  <c r="X53" i="31"/>
  <c r="Y53" i="31" s="1"/>
  <c r="W52" i="31"/>
  <c r="V52" i="31"/>
  <c r="T52" i="31"/>
  <c r="S52" i="31"/>
  <c r="R52" i="31"/>
  <c r="R95" i="31" s="1"/>
  <c r="Q52" i="31"/>
  <c r="Q95" i="31" s="1"/>
  <c r="P52" i="31"/>
  <c r="O52" i="31"/>
  <c r="M52" i="31"/>
  <c r="L52" i="31"/>
  <c r="J52" i="31"/>
  <c r="J95" i="31" s="1"/>
  <c r="I52" i="31"/>
  <c r="I95" i="31" s="1"/>
  <c r="H52" i="31"/>
  <c r="F51" i="31"/>
  <c r="X51" i="31" s="1"/>
  <c r="Y51" i="31" s="1"/>
  <c r="AJ51" i="31" s="1"/>
  <c r="U50" i="31"/>
  <c r="G50" i="31"/>
  <c r="AK50" i="31" s="1"/>
  <c r="F50" i="31"/>
  <c r="F49" i="31"/>
  <c r="X49" i="31" s="1"/>
  <c r="Y49" i="31" s="1"/>
  <c r="AJ49" i="31" s="1"/>
  <c r="F48" i="31"/>
  <c r="X48" i="31" s="1"/>
  <c r="Y48" i="31" s="1"/>
  <c r="AJ48" i="31" s="1"/>
  <c r="U47" i="31"/>
  <c r="K47" i="31"/>
  <c r="F47" i="31"/>
  <c r="F46" i="31"/>
  <c r="X46" i="31" s="1"/>
  <c r="Y46" i="31" s="1"/>
  <c r="AJ46" i="31" s="1"/>
  <c r="F45" i="31"/>
  <c r="X45" i="31" s="1"/>
  <c r="Y45" i="31" s="1"/>
  <c r="U44" i="31"/>
  <c r="N44" i="31"/>
  <c r="N52" i="31" s="1"/>
  <c r="K44" i="31"/>
  <c r="G44" i="31"/>
  <c r="F44" i="31"/>
  <c r="X43" i="31"/>
  <c r="Y43" i="31" s="1"/>
  <c r="AJ43" i="31" s="1"/>
  <c r="Y42" i="31"/>
  <c r="AJ42" i="31" s="1"/>
  <c r="X42" i="31"/>
  <c r="T41" i="31"/>
  <c r="S41" i="31"/>
  <c r="Q41" i="31"/>
  <c r="P41" i="31"/>
  <c r="O41" i="31"/>
  <c r="J41" i="31"/>
  <c r="I41" i="31"/>
  <c r="H41" i="31"/>
  <c r="V40" i="31"/>
  <c r="M40" i="31"/>
  <c r="L40" i="31"/>
  <c r="AK40" i="31" s="1"/>
  <c r="F40" i="31"/>
  <c r="G39" i="31"/>
  <c r="AK39" i="31" s="1"/>
  <c r="F39" i="31"/>
  <c r="X39" i="31" s="1"/>
  <c r="Y39" i="31" s="1"/>
  <c r="V38" i="31"/>
  <c r="F38" i="31"/>
  <c r="X38" i="31" s="1"/>
  <c r="Y38" i="31" s="1"/>
  <c r="AJ38" i="31" s="1"/>
  <c r="V37" i="31"/>
  <c r="AK37" i="31" s="1"/>
  <c r="F37" i="31"/>
  <c r="X37" i="31" s="1"/>
  <c r="Y37" i="31" s="1"/>
  <c r="V36" i="31"/>
  <c r="K36" i="31"/>
  <c r="F36" i="31"/>
  <c r="V35" i="31"/>
  <c r="U35" i="31"/>
  <c r="AK35" i="31" s="1"/>
  <c r="F35" i="31"/>
  <c r="V34" i="31"/>
  <c r="AK34" i="31" s="1"/>
  <c r="F34" i="31"/>
  <c r="X34" i="31" s="1"/>
  <c r="Y34" i="31" s="1"/>
  <c r="AJ34" i="31" s="1"/>
  <c r="V33" i="31"/>
  <c r="U33" i="31"/>
  <c r="F33" i="31"/>
  <c r="W32" i="31"/>
  <c r="W41" i="31" s="1"/>
  <c r="V32" i="31"/>
  <c r="U32" i="31"/>
  <c r="R32" i="31"/>
  <c r="R41" i="31" s="1"/>
  <c r="N32" i="31"/>
  <c r="N41" i="31" s="1"/>
  <c r="L32" i="31"/>
  <c r="K32" i="31"/>
  <c r="K41" i="31" s="1"/>
  <c r="G32" i="31"/>
  <c r="F32" i="31"/>
  <c r="F31" i="31"/>
  <c r="X31" i="31" s="1"/>
  <c r="Y31" i="31" s="1"/>
  <c r="AJ31" i="31" s="1"/>
  <c r="G30" i="31"/>
  <c r="AK30" i="31" s="1"/>
  <c r="F30" i="31"/>
  <c r="X30" i="31" s="1"/>
  <c r="Y30" i="31" s="1"/>
  <c r="V29" i="31"/>
  <c r="F29" i="31"/>
  <c r="V28" i="31"/>
  <c r="U28" i="31"/>
  <c r="M28" i="31"/>
  <c r="G28" i="31"/>
  <c r="G41" i="31" s="1"/>
  <c r="F28" i="31"/>
  <c r="F27" i="31"/>
  <c r="X27" i="31" s="1"/>
  <c r="Y27" i="31" s="1"/>
  <c r="AJ27" i="31" s="1"/>
  <c r="X26" i="31"/>
  <c r="Y26" i="31" s="1"/>
  <c r="AJ26" i="31" s="1"/>
  <c r="S22" i="31"/>
  <c r="R22" i="31"/>
  <c r="P22" i="31"/>
  <c r="O22" i="31"/>
  <c r="H22" i="31"/>
  <c r="G22" i="31"/>
  <c r="F22" i="31"/>
  <c r="T21" i="31"/>
  <c r="T22" i="31" s="1"/>
  <c r="L21" i="31"/>
  <c r="L22" i="31" s="1"/>
  <c r="K21" i="31"/>
  <c r="K22" i="31" s="1"/>
  <c r="J21" i="31"/>
  <c r="J22" i="31" s="1"/>
  <c r="I21" i="31"/>
  <c r="I22" i="31" s="1"/>
  <c r="G21" i="31"/>
  <c r="V20" i="31"/>
  <c r="X20" i="31" s="1"/>
  <c r="Y20" i="31" s="1"/>
  <c r="W19" i="31"/>
  <c r="X19" i="31" s="1"/>
  <c r="Y19" i="31" s="1"/>
  <c r="U18" i="31"/>
  <c r="U22" i="31" s="1"/>
  <c r="Q17" i="31"/>
  <c r="Q22" i="31" s="1"/>
  <c r="N16" i="31"/>
  <c r="X16" i="31" s="1"/>
  <c r="Y16" i="31" s="1"/>
  <c r="M15" i="31"/>
  <c r="X15" i="31" s="1"/>
  <c r="Y15" i="31" s="1"/>
  <c r="X14" i="31"/>
  <c r="Y14" i="31" s="1"/>
  <c r="AJ14" i="31" s="1"/>
  <c r="W13" i="31"/>
  <c r="V13" i="31"/>
  <c r="U13" i="31"/>
  <c r="T13" i="31"/>
  <c r="Q13" i="31"/>
  <c r="P13" i="31"/>
  <c r="O13" i="31"/>
  <c r="N13" i="31"/>
  <c r="M13" i="31"/>
  <c r="L13" i="31"/>
  <c r="K13" i="31"/>
  <c r="J13" i="31"/>
  <c r="I13" i="31"/>
  <c r="G13" i="31"/>
  <c r="F12" i="31"/>
  <c r="X12" i="31" s="1"/>
  <c r="Y12" i="31" s="1"/>
  <c r="AJ12" i="31" s="1"/>
  <c r="F11" i="31"/>
  <c r="X11" i="31" s="1"/>
  <c r="Y11" i="31" s="1"/>
  <c r="H10" i="31"/>
  <c r="H13" i="31" s="1"/>
  <c r="X9" i="31"/>
  <c r="Y9" i="31" s="1"/>
  <c r="AJ9" i="31" s="1"/>
  <c r="F9" i="31"/>
  <c r="S8" i="31"/>
  <c r="S13" i="31" s="1"/>
  <c r="R8" i="31"/>
  <c r="F8" i="31"/>
  <c r="F13" i="31" s="1"/>
  <c r="X7" i="31"/>
  <c r="Y7" i="31" s="1"/>
  <c r="AJ7" i="31" s="1"/>
  <c r="W6" i="31"/>
  <c r="V6" i="31"/>
  <c r="U6" i="31"/>
  <c r="T6" i="31"/>
  <c r="S6" i="31"/>
  <c r="R6" i="31"/>
  <c r="Q6" i="31"/>
  <c r="P6" i="31"/>
  <c r="O6" i="31"/>
  <c r="N6" i="31"/>
  <c r="M6" i="31"/>
  <c r="L6" i="31"/>
  <c r="K6" i="31"/>
  <c r="J6" i="31"/>
  <c r="I6" i="31"/>
  <c r="H6" i="31"/>
  <c r="G6" i="31"/>
  <c r="F5" i="31"/>
  <c r="F6" i="31" s="1"/>
  <c r="F4" i="31"/>
  <c r="X4" i="31" s="1"/>
  <c r="Y4" i="31" s="1"/>
  <c r="AJ4" i="31" s="1"/>
  <c r="X3" i="31"/>
  <c r="Y3" i="31" s="1"/>
  <c r="AJ3" i="31" s="1"/>
  <c r="H37" i="35" l="1"/>
  <c r="H27" i="35"/>
  <c r="Q32" i="32"/>
  <c r="AG32" i="32"/>
  <c r="P16" i="32"/>
  <c r="H26" i="35" s="1"/>
  <c r="AC16" i="32"/>
  <c r="Q19" i="32"/>
  <c r="AG19" i="32"/>
  <c r="Q30" i="32"/>
  <c r="L44" i="35" s="1"/>
  <c r="AG30" i="32"/>
  <c r="P15" i="32"/>
  <c r="H25" i="35" s="1"/>
  <c r="AC15" i="32"/>
  <c r="Q18" i="32"/>
  <c r="L28" i="35" s="1"/>
  <c r="AG18" i="32"/>
  <c r="P29" i="32"/>
  <c r="AC29" i="32"/>
  <c r="P19" i="32"/>
  <c r="H29" i="35" s="1"/>
  <c r="AC19" i="32"/>
  <c r="P30" i="32"/>
  <c r="H44" i="35" s="1"/>
  <c r="AC30" i="32"/>
  <c r="Q15" i="32"/>
  <c r="L25" i="35" s="1"/>
  <c r="AG15" i="32"/>
  <c r="P18" i="32"/>
  <c r="H28" i="35" s="1"/>
  <c r="AC18" i="32"/>
  <c r="Q29" i="32"/>
  <c r="L43" i="35" s="1"/>
  <c r="AG29" i="32"/>
  <c r="Q26" i="32"/>
  <c r="L38" i="35" s="1"/>
  <c r="AG26" i="32"/>
  <c r="Q33" i="32"/>
  <c r="L50" i="35" s="1"/>
  <c r="AG33" i="32"/>
  <c r="P24" i="32"/>
  <c r="H36" i="35" s="1"/>
  <c r="AC24" i="32"/>
  <c r="P20" i="32"/>
  <c r="H32" i="35" s="1"/>
  <c r="AC20" i="32"/>
  <c r="P26" i="32"/>
  <c r="AC26" i="32"/>
  <c r="P33" i="32"/>
  <c r="AC33" i="32"/>
  <c r="Q24" i="32"/>
  <c r="AG24" i="32"/>
  <c r="Q20" i="32"/>
  <c r="AG20" i="32"/>
  <c r="P31" i="32"/>
  <c r="AC31" i="32"/>
  <c r="Q21" i="32"/>
  <c r="AG21" i="32"/>
  <c r="Q31" i="32"/>
  <c r="AG31" i="32"/>
  <c r="Q28" i="32"/>
  <c r="AG28" i="32"/>
  <c r="P28" i="32"/>
  <c r="AC28" i="32"/>
  <c r="P21" i="32"/>
  <c r="AC21" i="32"/>
  <c r="P23" i="32"/>
  <c r="AC23" i="32"/>
  <c r="Q22" i="32"/>
  <c r="AG22" i="32"/>
  <c r="P32" i="32"/>
  <c r="AC32" i="32"/>
  <c r="Q16" i="32"/>
  <c r="AG16" i="32"/>
  <c r="Q23" i="32"/>
  <c r="AG23" i="32"/>
  <c r="P22" i="32"/>
  <c r="H34" i="35" s="1"/>
  <c r="AC22" i="32"/>
  <c r="Q14" i="32"/>
  <c r="O34" i="32"/>
  <c r="Q35" i="32" s="1"/>
  <c r="P14" i="32"/>
  <c r="N34" i="32"/>
  <c r="P35" i="32" s="1"/>
  <c r="AJ30" i="31"/>
  <c r="AJ37" i="31"/>
  <c r="M41" i="31"/>
  <c r="X77" i="31"/>
  <c r="Y77" i="31" s="1"/>
  <c r="X10" i="31"/>
  <c r="Y10" i="31" s="1"/>
  <c r="AJ10" i="31" s="1"/>
  <c r="AJ11" i="31"/>
  <c r="AK21" i="31"/>
  <c r="U41" i="31"/>
  <c r="S95" i="31"/>
  <c r="X67" i="31"/>
  <c r="Y67" i="31" s="1"/>
  <c r="AK124" i="31"/>
  <c r="AK135" i="31"/>
  <c r="AK6" i="31"/>
  <c r="U72" i="31"/>
  <c r="X93" i="31"/>
  <c r="Y93" i="31" s="1"/>
  <c r="AJ93" i="31" s="1"/>
  <c r="AK150" i="31"/>
  <c r="AK13" i="31"/>
  <c r="AJ81" i="31"/>
  <c r="AK88" i="31"/>
  <c r="X140" i="31"/>
  <c r="Y140" i="31" s="1"/>
  <c r="AJ140" i="31" s="1"/>
  <c r="AK126" i="31"/>
  <c r="S23" i="31"/>
  <c r="S24" i="31" s="1"/>
  <c r="K23" i="31"/>
  <c r="K24" i="31" s="1"/>
  <c r="AK32" i="31"/>
  <c r="W95" i="31"/>
  <c r="J111" i="31"/>
  <c r="J154" i="31" s="1"/>
  <c r="AK33" i="31"/>
  <c r="AK36" i="31"/>
  <c r="X57" i="31"/>
  <c r="Y57" i="31" s="1"/>
  <c r="AJ66" i="31"/>
  <c r="AJ90" i="31"/>
  <c r="AJ121" i="31"/>
  <c r="V22" i="31"/>
  <c r="L41" i="31"/>
  <c r="X40" i="31"/>
  <c r="Y40" i="31" s="1"/>
  <c r="AJ40" i="31" s="1"/>
  <c r="X44" i="31"/>
  <c r="Y44" i="31" s="1"/>
  <c r="AK47" i="31"/>
  <c r="AK57" i="31"/>
  <c r="U78" i="31"/>
  <c r="X91" i="31"/>
  <c r="Y91" i="31" s="1"/>
  <c r="F150" i="31"/>
  <c r="AK110" i="31"/>
  <c r="AK153" i="31"/>
  <c r="AJ67" i="31"/>
  <c r="AJ77" i="31"/>
  <c r="AJ144" i="31"/>
  <c r="H154" i="31"/>
  <c r="AJ39" i="31"/>
  <c r="AJ91" i="31"/>
  <c r="X17" i="31"/>
  <c r="Y17" i="31" s="1"/>
  <c r="W22" i="31"/>
  <c r="K62" i="31"/>
  <c r="AK62" i="31" s="1"/>
  <c r="X99" i="31"/>
  <c r="Y99" i="31" s="1"/>
  <c r="AK15" i="31"/>
  <c r="AJ15" i="31" s="1"/>
  <c r="AJ151" i="31"/>
  <c r="L95" i="31"/>
  <c r="T95" i="31"/>
  <c r="AK16" i="31"/>
  <c r="AJ16" i="31" s="1"/>
  <c r="AK64" i="31"/>
  <c r="AK120" i="31"/>
  <c r="AJ120" i="31" s="1"/>
  <c r="AK152" i="31"/>
  <c r="AK54" i="31"/>
  <c r="M22" i="31"/>
  <c r="X5" i="31"/>
  <c r="Y5" i="31" s="1"/>
  <c r="X18" i="31"/>
  <c r="Y18" i="31" s="1"/>
  <c r="J23" i="31"/>
  <c r="J24" i="31" s="1"/>
  <c r="X50" i="31"/>
  <c r="Y50" i="31" s="1"/>
  <c r="AJ50" i="31" s="1"/>
  <c r="V95" i="31"/>
  <c r="P95" i="31"/>
  <c r="P154" i="31" s="1"/>
  <c r="F124" i="31"/>
  <c r="X124" i="31" s="1"/>
  <c r="Y124" i="31" s="1"/>
  <c r="AJ124" i="31" s="1"/>
  <c r="X130" i="31"/>
  <c r="Y130" i="31" s="1"/>
  <c r="AJ130" i="31" s="1"/>
  <c r="M146" i="31"/>
  <c r="AK146" i="31" s="1"/>
  <c r="X148" i="31"/>
  <c r="Y148" i="31" s="1"/>
  <c r="AJ148" i="31" s="1"/>
  <c r="AK17" i="31"/>
  <c r="AK18" i="31"/>
  <c r="N95" i="31"/>
  <c r="Q23" i="31"/>
  <c r="Q24" i="31" s="1"/>
  <c r="L23" i="31"/>
  <c r="L24" i="31" s="1"/>
  <c r="V41" i="31"/>
  <c r="X33" i="31"/>
  <c r="Y33" i="31" s="1"/>
  <c r="AJ33" i="31" s="1"/>
  <c r="G52" i="31"/>
  <c r="X70" i="31"/>
  <c r="Y70" i="31" s="1"/>
  <c r="AJ70" i="31" s="1"/>
  <c r="AK19" i="31"/>
  <c r="AJ19" i="31" s="1"/>
  <c r="AK99" i="31"/>
  <c r="M23" i="31"/>
  <c r="M24" i="31" s="1"/>
  <c r="H95" i="31"/>
  <c r="F88" i="31"/>
  <c r="T23" i="31"/>
  <c r="T24" i="31" s="1"/>
  <c r="X36" i="31"/>
  <c r="Y36" i="31" s="1"/>
  <c r="AJ36" i="31" s="1"/>
  <c r="K52" i="31"/>
  <c r="K95" i="31" s="1"/>
  <c r="K154" i="31" s="1"/>
  <c r="X60" i="31"/>
  <c r="Y60" i="31" s="1"/>
  <c r="AJ60" i="31" s="1"/>
  <c r="K72" i="31"/>
  <c r="AK72" i="31" s="1"/>
  <c r="X101" i="31"/>
  <c r="Y101" i="31" s="1"/>
  <c r="X152" i="31"/>
  <c r="Y152" i="31" s="1"/>
  <c r="AK20" i="31"/>
  <c r="AJ20" i="31" s="1"/>
  <c r="AK28" i="31"/>
  <c r="AK44" i="31"/>
  <c r="AJ44" i="31" s="1"/>
  <c r="AK132" i="31"/>
  <c r="F52" i="31"/>
  <c r="H23" i="31"/>
  <c r="H24" i="31" s="1"/>
  <c r="P23" i="31"/>
  <c r="P24" i="31" s="1"/>
  <c r="P155" i="31" s="1"/>
  <c r="P156" i="31" s="1"/>
  <c r="R154" i="31"/>
  <c r="U52" i="31"/>
  <c r="X109" i="31"/>
  <c r="Y109" i="31" s="1"/>
  <c r="AJ109" i="31" s="1"/>
  <c r="X132" i="31"/>
  <c r="Y132" i="31" s="1"/>
  <c r="F146" i="31"/>
  <c r="X146" i="31" s="1"/>
  <c r="Y146" i="31" s="1"/>
  <c r="AJ5" i="31"/>
  <c r="AK29" i="31"/>
  <c r="AJ45" i="31"/>
  <c r="AJ53" i="31"/>
  <c r="AJ61" i="31"/>
  <c r="AJ69" i="31"/>
  <c r="AJ85" i="31"/>
  <c r="AK101" i="31"/>
  <c r="AJ117" i="31"/>
  <c r="AJ125" i="31"/>
  <c r="AJ133" i="31"/>
  <c r="AJ141" i="31"/>
  <c r="AJ149" i="31"/>
  <c r="X8" i="31"/>
  <c r="Y8" i="31" s="1"/>
  <c r="AJ8" i="31" s="1"/>
  <c r="R13" i="31"/>
  <c r="R23" i="31" s="1"/>
  <c r="R24" i="31" s="1"/>
  <c r="X21" i="31"/>
  <c r="Y21" i="31" s="1"/>
  <c r="AJ21" i="31" s="1"/>
  <c r="X47" i="31"/>
  <c r="Y47" i="31" s="1"/>
  <c r="AJ47" i="31" s="1"/>
  <c r="M95" i="31"/>
  <c r="M154" i="31" s="1"/>
  <c r="M155" i="31" s="1"/>
  <c r="M156" i="31" s="1"/>
  <c r="Q154" i="31"/>
  <c r="F135" i="31"/>
  <c r="X135" i="31" s="1"/>
  <c r="Y135" i="31" s="1"/>
  <c r="AJ135" i="31" s="1"/>
  <c r="X126" i="31"/>
  <c r="Y126" i="31" s="1"/>
  <c r="AJ126" i="31" s="1"/>
  <c r="X153" i="31"/>
  <c r="Y153" i="31" s="1"/>
  <c r="AJ153" i="31" s="1"/>
  <c r="N22" i="31"/>
  <c r="S154" i="31"/>
  <c r="S155" i="31" s="1"/>
  <c r="S156" i="31" s="1"/>
  <c r="O95" i="31"/>
  <c r="O154" i="31" s="1"/>
  <c r="X64" i="31"/>
  <c r="Y64" i="31" s="1"/>
  <c r="AJ64" i="31" s="1"/>
  <c r="F72" i="31"/>
  <c r="X88" i="31"/>
  <c r="Y88" i="31" s="1"/>
  <c r="AJ88" i="31" s="1"/>
  <c r="X110" i="31"/>
  <c r="Y110" i="31" s="1"/>
  <c r="AJ110" i="31" s="1"/>
  <c r="L111" i="31"/>
  <c r="AK111" i="31" s="1"/>
  <c r="X150" i="31"/>
  <c r="Y150" i="31" s="1"/>
  <c r="AJ150" i="31" s="1"/>
  <c r="T154" i="31"/>
  <c r="T155" i="31" s="1"/>
  <c r="T156" i="31" s="1"/>
  <c r="U23" i="31"/>
  <c r="U24" i="31" s="1"/>
  <c r="N23" i="31"/>
  <c r="N24" i="31" s="1"/>
  <c r="V23" i="31"/>
  <c r="V24" i="31" s="1"/>
  <c r="I23" i="31"/>
  <c r="I24" i="31" s="1"/>
  <c r="X32" i="31"/>
  <c r="Y32" i="31" s="1"/>
  <c r="AJ32" i="31" s="1"/>
  <c r="W154" i="31"/>
  <c r="X35" i="31"/>
  <c r="Y35" i="31" s="1"/>
  <c r="AJ35" i="31" s="1"/>
  <c r="L154" i="31"/>
  <c r="L155" i="31" s="1"/>
  <c r="L156" i="31" s="1"/>
  <c r="X54" i="31"/>
  <c r="Y54" i="31" s="1"/>
  <c r="AJ54" i="31" s="1"/>
  <c r="F62" i="31"/>
  <c r="X62" i="31" s="1"/>
  <c r="Y62" i="31" s="1"/>
  <c r="X74" i="31"/>
  <c r="Y74" i="31" s="1"/>
  <c r="AJ74" i="31" s="1"/>
  <c r="G78" i="31"/>
  <c r="X94" i="31"/>
  <c r="Y94" i="31" s="1"/>
  <c r="AJ94" i="31" s="1"/>
  <c r="F111" i="31"/>
  <c r="X111" i="31" s="1"/>
  <c r="Y111" i="31" s="1"/>
  <c r="X6" i="31"/>
  <c r="Y6" i="31" s="1"/>
  <c r="AJ6" i="31" s="1"/>
  <c r="F23" i="31"/>
  <c r="G23" i="31"/>
  <c r="O23" i="31"/>
  <c r="O24" i="31" s="1"/>
  <c r="W23" i="31"/>
  <c r="W24" i="31" s="1"/>
  <c r="X28" i="31"/>
  <c r="Y28" i="31" s="1"/>
  <c r="AJ28" i="31" s="1"/>
  <c r="F41" i="31"/>
  <c r="X22" i="31"/>
  <c r="Y22" i="31" s="1"/>
  <c r="X29" i="31"/>
  <c r="Y29" i="31" s="1"/>
  <c r="N154" i="31"/>
  <c r="I154" i="31"/>
  <c r="F78" i="31"/>
  <c r="X113" i="31"/>
  <c r="Y113" i="31" s="1"/>
  <c r="AJ113" i="31" s="1"/>
  <c r="X97" i="31"/>
  <c r="Y97" i="31" s="1"/>
  <c r="AJ97" i="31" s="1"/>
  <c r="H43" i="35" l="1"/>
  <c r="L29" i="35"/>
  <c r="AC34" i="32"/>
  <c r="L47" i="35"/>
  <c r="L34" i="35"/>
  <c r="L42" i="35"/>
  <c r="L32" i="35"/>
  <c r="L35" i="35"/>
  <c r="H35" i="35"/>
  <c r="L46" i="35"/>
  <c r="L36" i="35"/>
  <c r="L26" i="35"/>
  <c r="H33" i="35"/>
  <c r="H40" i="35" s="1"/>
  <c r="L33" i="35"/>
  <c r="H50" i="35"/>
  <c r="H47" i="35"/>
  <c r="H42" i="35"/>
  <c r="H45" i="35" s="1"/>
  <c r="H46" i="35"/>
  <c r="H38" i="35"/>
  <c r="P34" i="32"/>
  <c r="Q34" i="32"/>
  <c r="AJ57" i="31"/>
  <c r="K155" i="31"/>
  <c r="K156" i="31" s="1"/>
  <c r="J155" i="31"/>
  <c r="J156" i="31" s="1"/>
  <c r="AJ18" i="31"/>
  <c r="U95" i="31"/>
  <c r="U154" i="31" s="1"/>
  <c r="V154" i="31"/>
  <c r="AK22" i="31"/>
  <c r="AJ22" i="31" s="1"/>
  <c r="V155" i="31"/>
  <c r="V156" i="31" s="1"/>
  <c r="X72" i="31"/>
  <c r="Y72" i="31" s="1"/>
  <c r="Q155" i="31"/>
  <c r="Q156" i="31" s="1"/>
  <c r="AJ152" i="31"/>
  <c r="G95" i="31"/>
  <c r="AK78" i="31"/>
  <c r="AJ132" i="31"/>
  <c r="N155" i="31"/>
  <c r="N156" i="31" s="1"/>
  <c r="AJ72" i="31"/>
  <c r="AJ62" i="31"/>
  <c r="AK41" i="31"/>
  <c r="AJ146" i="31"/>
  <c r="AJ17" i="31"/>
  <c r="AJ99" i="31"/>
  <c r="X78" i="31"/>
  <c r="Y78" i="31" s="1"/>
  <c r="AJ78" i="31" s="1"/>
  <c r="AJ111" i="31"/>
  <c r="AJ29" i="31"/>
  <c r="H155" i="31"/>
  <c r="H156" i="31" s="1"/>
  <c r="X52" i="31"/>
  <c r="Y52" i="31" s="1"/>
  <c r="AK52" i="31"/>
  <c r="G24" i="31"/>
  <c r="AK24" i="31" s="1"/>
  <c r="AK23" i="31"/>
  <c r="R155" i="31"/>
  <c r="R156" i="31" s="1"/>
  <c r="AJ101" i="31"/>
  <c r="X13" i="31"/>
  <c r="Y13" i="31" s="1"/>
  <c r="AJ13" i="31" s="1"/>
  <c r="F95" i="31"/>
  <c r="X95" i="31" s="1"/>
  <c r="Y95" i="31" s="1"/>
  <c r="U155" i="31"/>
  <c r="U156" i="31" s="1"/>
  <c r="W155" i="31"/>
  <c r="W156" i="31" s="1"/>
  <c r="O155" i="31"/>
  <c r="O156" i="31" s="1"/>
  <c r="I155" i="31"/>
  <c r="I156" i="31" s="1"/>
  <c r="X41" i="31"/>
  <c r="Y41" i="31" s="1"/>
  <c r="X23" i="31"/>
  <c r="Y23" i="31" s="1"/>
  <c r="AJ23" i="31" s="1"/>
  <c r="F24" i="31"/>
  <c r="L24" i="35" l="1"/>
  <c r="AG34" i="32"/>
  <c r="H24" i="35"/>
  <c r="H30" i="35" s="1"/>
  <c r="H49" i="35" s="1"/>
  <c r="H52" i="35" s="1"/>
  <c r="H55" i="35" s="1"/>
  <c r="H60" i="35" s="1"/>
  <c r="AJ52" i="31"/>
  <c r="AJ41" i="31"/>
  <c r="F154" i="31"/>
  <c r="G154" i="31"/>
  <c r="AK95" i="31"/>
  <c r="AJ95" i="31" s="1"/>
  <c r="X24" i="31"/>
  <c r="Y24" i="31" s="1"/>
  <c r="AJ24" i="31" s="1"/>
  <c r="AM24" i="31" s="1"/>
  <c r="F155" i="31"/>
  <c r="AJ2" i="31"/>
  <c r="X154" i="31" l="1"/>
  <c r="Y154" i="31" s="1"/>
  <c r="AK154" i="31"/>
  <c r="G155" i="31"/>
  <c r="AJ154" i="31"/>
  <c r="F156" i="31"/>
  <c r="X155" i="31"/>
  <c r="Y155" i="31" s="1"/>
  <c r="G156" i="31" l="1"/>
  <c r="AK156" i="31" s="1"/>
  <c r="AK155" i="31"/>
  <c r="AJ155" i="31" s="1"/>
  <c r="X156" i="31"/>
  <c r="Y156" i="31" s="1"/>
  <c r="AJ156" i="31" s="1"/>
  <c r="H75" i="1"/>
  <c r="H74" i="1"/>
  <c r="H73" i="1"/>
  <c r="H72" i="1"/>
  <c r="H71" i="1"/>
  <c r="H70" i="1"/>
  <c r="H68" i="1"/>
  <c r="H67" i="1"/>
  <c r="H65" i="1"/>
  <c r="H64" i="1"/>
  <c r="H63" i="1"/>
  <c r="H61" i="1"/>
  <c r="H60" i="1"/>
  <c r="H59" i="1"/>
  <c r="H56" i="1"/>
  <c r="H51" i="1"/>
  <c r="H50" i="1"/>
  <c r="H48" i="1"/>
  <c r="H47" i="1"/>
  <c r="F48" i="1"/>
  <c r="F46" i="1"/>
  <c r="F43" i="1"/>
  <c r="F30" i="1"/>
  <c r="H154" i="1"/>
  <c r="F154" i="1"/>
  <c r="H153" i="1"/>
  <c r="F153" i="1"/>
  <c r="H148" i="1"/>
  <c r="F148" i="1"/>
  <c r="H146" i="1"/>
  <c r="F146" i="1"/>
  <c r="H142" i="1"/>
  <c r="F142" i="1"/>
  <c r="H141" i="1"/>
  <c r="F141" i="1"/>
  <c r="H140" i="1"/>
  <c r="F140" i="1"/>
  <c r="H139" i="1"/>
  <c r="F139" i="1"/>
  <c r="H136" i="1"/>
  <c r="F136" i="1"/>
  <c r="H135" i="1"/>
  <c r="F135" i="1"/>
  <c r="H134" i="1"/>
  <c r="F134" i="1"/>
  <c r="H126" i="1"/>
  <c r="F126" i="1"/>
  <c r="H125" i="1"/>
  <c r="F125" i="1"/>
  <c r="H124" i="1"/>
  <c r="F124" i="1"/>
  <c r="H114" i="1"/>
  <c r="F114" i="1"/>
  <c r="H110" i="1"/>
  <c r="F110" i="1"/>
  <c r="H108" i="1"/>
  <c r="F108" i="1"/>
  <c r="H104" i="1"/>
  <c r="F104" i="1"/>
  <c r="F90" i="1"/>
  <c r="H90" i="1"/>
  <c r="F91" i="1"/>
  <c r="H91" i="1"/>
  <c r="H92" i="1"/>
  <c r="F95" i="1"/>
  <c r="H95" i="1"/>
  <c r="H44" i="1"/>
  <c r="F44" i="1"/>
  <c r="H34" i="1"/>
  <c r="H33" i="1"/>
  <c r="F33" i="1"/>
  <c r="H32" i="1"/>
  <c r="F32" i="1"/>
  <c r="H31" i="1"/>
  <c r="F31" i="1"/>
  <c r="H29" i="1"/>
  <c r="F29" i="1"/>
  <c r="H27" i="1"/>
  <c r="F27" i="1"/>
  <c r="H21" i="1"/>
  <c r="F21" i="1"/>
  <c r="H20" i="1"/>
  <c r="F20" i="1"/>
  <c r="H19" i="1"/>
  <c r="F19" i="1"/>
  <c r="H18" i="1"/>
  <c r="F18" i="1"/>
  <c r="H16" i="1"/>
  <c r="F16" i="1"/>
  <c r="H15" i="1"/>
  <c r="H13" i="1"/>
  <c r="H17" i="1"/>
  <c r="H55" i="1"/>
  <c r="H58" i="1"/>
  <c r="H62" i="1"/>
  <c r="H69" i="1"/>
  <c r="H89" i="1"/>
  <c r="H93" i="1"/>
  <c r="H94" i="1"/>
  <c r="H99" i="1"/>
  <c r="H100" i="1"/>
  <c r="H101" i="1"/>
  <c r="H102" i="1"/>
  <c r="H103" i="1"/>
  <c r="H111" i="1"/>
  <c r="H109" i="1"/>
  <c r="H118" i="1"/>
  <c r="H115" i="1"/>
  <c r="H116" i="1"/>
  <c r="H121" i="1"/>
  <c r="H129" i="1"/>
  <c r="H127" i="1"/>
  <c r="H128" i="1"/>
  <c r="H133" i="1"/>
  <c r="H149" i="1"/>
  <c r="H152" i="1"/>
  <c r="H145" i="1"/>
  <c r="H147" i="1"/>
  <c r="H122" i="1" l="1"/>
  <c r="H53" i="1"/>
  <c r="H105" i="1"/>
  <c r="H117" i="1"/>
  <c r="H123" i="1"/>
  <c r="H54" i="1"/>
  <c r="F145" i="1"/>
  <c r="H132" i="1"/>
  <c r="F116" i="1"/>
  <c r="H96" i="1"/>
  <c r="F26" i="1"/>
  <c r="B4" i="31"/>
  <c r="B1" i="31"/>
  <c r="F101" i="1" l="1"/>
  <c r="F115" i="1"/>
  <c r="F121" i="1"/>
  <c r="F17" i="1"/>
  <c r="F93" i="1"/>
  <c r="F94" i="1"/>
  <c r="F123" i="1"/>
  <c r="F128" i="1"/>
  <c r="F15" i="1"/>
  <c r="F149" i="1"/>
  <c r="F99" i="1"/>
  <c r="F34" i="1"/>
  <c r="F109" i="1"/>
  <c r="F147" i="1"/>
  <c r="F105" i="1"/>
  <c r="F127" i="1"/>
  <c r="F89" i="1"/>
  <c r="F122" i="1"/>
  <c r="F13" i="1"/>
  <c r="F117" i="1"/>
  <c r="F152" i="1"/>
  <c r="F102" i="1" l="1"/>
  <c r="G135" i="1"/>
  <c r="G139" i="1"/>
  <c r="G133" i="1"/>
  <c r="G123" i="1"/>
  <c r="G145" i="1"/>
  <c r="G122" i="1"/>
  <c r="G110" i="1"/>
  <c r="G94" i="1"/>
  <c r="G124" i="1"/>
  <c r="G20" i="1"/>
  <c r="G153" i="1"/>
  <c r="G154" i="1"/>
  <c r="G17" i="1"/>
  <c r="G103" i="1"/>
  <c r="G125" i="1"/>
  <c r="G147" i="1"/>
  <c r="G93" i="1"/>
  <c r="G18" i="1"/>
  <c r="G29" i="1"/>
  <c r="F118" i="1"/>
  <c r="G27" i="1"/>
  <c r="G146" i="1"/>
  <c r="G33" i="1"/>
  <c r="G148" i="1"/>
  <c r="G121" i="1"/>
  <c r="F92" i="1"/>
  <c r="G44" i="1"/>
  <c r="G43" i="1"/>
  <c r="G15" i="1"/>
  <c r="F111" i="1"/>
  <c r="F133" i="1"/>
  <c r="G136" i="1"/>
  <c r="G126" i="1"/>
  <c r="G13" i="1"/>
  <c r="G92" i="1"/>
  <c r="G140" i="1"/>
  <c r="G100" i="1"/>
  <c r="G48" i="1"/>
  <c r="G19" i="1"/>
  <c r="G105" i="1"/>
  <c r="G149" i="1"/>
  <c r="G102" i="1"/>
  <c r="G111" i="1"/>
  <c r="F103" i="1"/>
  <c r="F129" i="1"/>
  <c r="G99" i="1"/>
  <c r="G141" i="1"/>
  <c r="G104" i="1"/>
  <c r="G96" i="1"/>
  <c r="G108" i="1"/>
  <c r="G101" i="1"/>
  <c r="F96" i="1"/>
  <c r="G95" i="1"/>
  <c r="G142" i="1"/>
  <c r="G90" i="1"/>
  <c r="G116" i="1"/>
  <c r="G31" i="1"/>
  <c r="G21" i="1"/>
  <c r="G109" i="1"/>
  <c r="G129" i="1"/>
  <c r="G26" i="1"/>
  <c r="G134" i="1"/>
  <c r="G91" i="1"/>
  <c r="G114" i="1"/>
  <c r="G152" i="1"/>
  <c r="G118" i="1"/>
  <c r="G32" i="1"/>
  <c r="G115" i="1"/>
  <c r="F132" i="1"/>
  <c r="G128" i="1"/>
  <c r="G46" i="1"/>
  <c r="G16" i="1"/>
  <c r="G30" i="1"/>
  <c r="G132" i="1"/>
  <c r="G89" i="1"/>
  <c r="G117" i="1"/>
  <c r="F100" i="1"/>
  <c r="A12" i="23" l="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2" i="24"/>
  <c r="A12" i="22"/>
  <c r="A12" i="1"/>
  <c r="J154" i="22"/>
  <c r="F154" i="22"/>
  <c r="H154" i="22" s="1"/>
  <c r="F154" i="23" s="1"/>
  <c r="H154" i="23" s="1"/>
  <c r="F154" i="24" s="1"/>
  <c r="H154" i="24" s="1"/>
  <c r="J153" i="22"/>
  <c r="F153" i="22"/>
  <c r="H153" i="22" s="1"/>
  <c r="F153" i="23" s="1"/>
  <c r="H153" i="23" s="1"/>
  <c r="F153" i="24" s="1"/>
  <c r="H153" i="24" s="1"/>
  <c r="J152" i="22"/>
  <c r="F152" i="22"/>
  <c r="H152" i="22" s="1"/>
  <c r="F152" i="23" s="1"/>
  <c r="H152" i="23" s="1"/>
  <c r="F152" i="24" s="1"/>
  <c r="H152" i="24" s="1"/>
  <c r="J149" i="22"/>
  <c r="F149" i="22"/>
  <c r="H149" i="22" s="1"/>
  <c r="F149" i="23" s="1"/>
  <c r="H149" i="23" s="1"/>
  <c r="F149" i="24" s="1"/>
  <c r="H149" i="24" s="1"/>
  <c r="J148" i="22"/>
  <c r="F148" i="22"/>
  <c r="H148" i="22" s="1"/>
  <c r="F148" i="23" s="1"/>
  <c r="H148" i="23" s="1"/>
  <c r="F148" i="24" s="1"/>
  <c r="H148" i="24" s="1"/>
  <c r="J147" i="22"/>
  <c r="F147" i="22"/>
  <c r="H147" i="22" s="1"/>
  <c r="F147" i="23" s="1"/>
  <c r="H147" i="23" s="1"/>
  <c r="F147" i="24" s="1"/>
  <c r="H147" i="24" s="1"/>
  <c r="J146" i="22"/>
  <c r="F146" i="22"/>
  <c r="H146" i="22" s="1"/>
  <c r="F146" i="23" s="1"/>
  <c r="H146" i="23" s="1"/>
  <c r="F146" i="24" s="1"/>
  <c r="H146" i="24" s="1"/>
  <c r="J145" i="22"/>
  <c r="F145" i="22"/>
  <c r="H145" i="22" s="1"/>
  <c r="F145" i="23" s="1"/>
  <c r="H145" i="23" s="1"/>
  <c r="F145" i="24" s="1"/>
  <c r="H145" i="24" s="1"/>
  <c r="J142" i="22"/>
  <c r="F142" i="22"/>
  <c r="H142" i="22" s="1"/>
  <c r="F142" i="23" s="1"/>
  <c r="H142" i="23" s="1"/>
  <c r="F142" i="24" s="1"/>
  <c r="H142" i="24" s="1"/>
  <c r="J141" i="22"/>
  <c r="F141" i="22"/>
  <c r="H141" i="22" s="1"/>
  <c r="F141" i="23" s="1"/>
  <c r="H141" i="23" s="1"/>
  <c r="F141" i="24" s="1"/>
  <c r="H141" i="24" s="1"/>
  <c r="J140" i="22"/>
  <c r="F140" i="22"/>
  <c r="H140" i="22" s="1"/>
  <c r="F140" i="23" s="1"/>
  <c r="H140" i="23" s="1"/>
  <c r="F140" i="24" s="1"/>
  <c r="H140" i="24" s="1"/>
  <c r="J139" i="22"/>
  <c r="F139" i="22"/>
  <c r="H139" i="22" s="1"/>
  <c r="F139" i="23" s="1"/>
  <c r="H139" i="23" s="1"/>
  <c r="F139" i="24" s="1"/>
  <c r="H139" i="24" s="1"/>
  <c r="J136" i="22"/>
  <c r="F136" i="22"/>
  <c r="H136" i="22" s="1"/>
  <c r="F136" i="23" s="1"/>
  <c r="H136" i="23" s="1"/>
  <c r="F136" i="24" s="1"/>
  <c r="H136" i="24" s="1"/>
  <c r="J135" i="22"/>
  <c r="F135" i="22"/>
  <c r="H135" i="22" s="1"/>
  <c r="F135" i="23" s="1"/>
  <c r="H135" i="23" s="1"/>
  <c r="F135" i="24" s="1"/>
  <c r="H135" i="24" s="1"/>
  <c r="J134" i="22"/>
  <c r="F134" i="22"/>
  <c r="H134" i="22" s="1"/>
  <c r="F134" i="23" s="1"/>
  <c r="H134" i="23" s="1"/>
  <c r="F134" i="24" s="1"/>
  <c r="H134" i="24" s="1"/>
  <c r="J133" i="22"/>
  <c r="F133" i="22"/>
  <c r="H133" i="22" s="1"/>
  <c r="F133" i="23" s="1"/>
  <c r="H133" i="23" s="1"/>
  <c r="F133" i="24" s="1"/>
  <c r="H133" i="24" s="1"/>
  <c r="J132" i="22"/>
  <c r="F132" i="22"/>
  <c r="H132" i="22" s="1"/>
  <c r="F132" i="23" s="1"/>
  <c r="H132" i="23" s="1"/>
  <c r="F132" i="24" s="1"/>
  <c r="H132" i="24" s="1"/>
  <c r="J129" i="22"/>
  <c r="F129" i="22"/>
  <c r="H129" i="22" s="1"/>
  <c r="F129" i="23" s="1"/>
  <c r="H129" i="23" s="1"/>
  <c r="F129" i="24" s="1"/>
  <c r="H129" i="24" s="1"/>
  <c r="J128" i="22"/>
  <c r="F128" i="22"/>
  <c r="H128" i="22" s="1"/>
  <c r="F128" i="23" s="1"/>
  <c r="H128" i="23" s="1"/>
  <c r="F128" i="24" s="1"/>
  <c r="H128" i="24" s="1"/>
  <c r="J126" i="22"/>
  <c r="F126" i="22"/>
  <c r="H126" i="22" s="1"/>
  <c r="F126" i="23" s="1"/>
  <c r="H126" i="23" s="1"/>
  <c r="F126" i="24" s="1"/>
  <c r="H126" i="24" s="1"/>
  <c r="J125" i="22"/>
  <c r="F125" i="22"/>
  <c r="H125" i="22" s="1"/>
  <c r="F125" i="23" s="1"/>
  <c r="H125" i="23" s="1"/>
  <c r="F125" i="24" s="1"/>
  <c r="H125" i="24" s="1"/>
  <c r="J124" i="22"/>
  <c r="F124" i="22"/>
  <c r="H124" i="22" s="1"/>
  <c r="F124" i="23" s="1"/>
  <c r="H124" i="23" s="1"/>
  <c r="F124" i="24" s="1"/>
  <c r="H124" i="24" s="1"/>
  <c r="J123" i="22"/>
  <c r="F123" i="22"/>
  <c r="H123" i="22" s="1"/>
  <c r="F123" i="23" s="1"/>
  <c r="H123" i="23" s="1"/>
  <c r="F123" i="24" s="1"/>
  <c r="H123" i="24" s="1"/>
  <c r="J122" i="22"/>
  <c r="F122" i="22"/>
  <c r="H122" i="22" s="1"/>
  <c r="F122" i="23" s="1"/>
  <c r="H122" i="23" s="1"/>
  <c r="F122" i="24" s="1"/>
  <c r="H122" i="24" s="1"/>
  <c r="J121" i="22"/>
  <c r="F121" i="22"/>
  <c r="H121" i="22" s="1"/>
  <c r="F121" i="23" s="1"/>
  <c r="H121" i="23" s="1"/>
  <c r="F121" i="24" s="1"/>
  <c r="H121" i="24" s="1"/>
  <c r="J118" i="22"/>
  <c r="F118" i="22"/>
  <c r="H118" i="22" s="1"/>
  <c r="F118" i="23" s="1"/>
  <c r="H118" i="23" s="1"/>
  <c r="F118" i="24" s="1"/>
  <c r="H118" i="24" s="1"/>
  <c r="J117" i="22"/>
  <c r="F117" i="22"/>
  <c r="H117" i="22" s="1"/>
  <c r="F117" i="23" s="1"/>
  <c r="H117" i="23" s="1"/>
  <c r="F117" i="24" s="1"/>
  <c r="H117" i="24" s="1"/>
  <c r="J116" i="22"/>
  <c r="F116" i="22"/>
  <c r="H116" i="22" s="1"/>
  <c r="F116" i="23" s="1"/>
  <c r="H116" i="23" s="1"/>
  <c r="F116" i="24" s="1"/>
  <c r="H116" i="24" s="1"/>
  <c r="J115" i="22"/>
  <c r="F115" i="22"/>
  <c r="H115" i="22" s="1"/>
  <c r="F115" i="23" s="1"/>
  <c r="H115" i="23" s="1"/>
  <c r="F115" i="24" s="1"/>
  <c r="H115" i="24" s="1"/>
  <c r="J114" i="22"/>
  <c r="F114" i="22"/>
  <c r="H114" i="22" s="1"/>
  <c r="F114" i="23" s="1"/>
  <c r="H114" i="23" s="1"/>
  <c r="F114" i="24" s="1"/>
  <c r="H114" i="24" s="1"/>
  <c r="J111" i="22"/>
  <c r="F111" i="22"/>
  <c r="H111" i="22" s="1"/>
  <c r="F111" i="23" s="1"/>
  <c r="H111" i="23" s="1"/>
  <c r="F111" i="24" s="1"/>
  <c r="H111" i="24" s="1"/>
  <c r="J110" i="22"/>
  <c r="F110" i="22"/>
  <c r="H110" i="22" s="1"/>
  <c r="F110" i="23" s="1"/>
  <c r="H110" i="23" s="1"/>
  <c r="F110" i="24" s="1"/>
  <c r="H110" i="24" s="1"/>
  <c r="J109" i="22"/>
  <c r="F109" i="22"/>
  <c r="H109" i="22" s="1"/>
  <c r="F109" i="23" s="1"/>
  <c r="H109" i="23" s="1"/>
  <c r="F109" i="24" s="1"/>
  <c r="H109" i="24" s="1"/>
  <c r="J108" i="22"/>
  <c r="F108" i="22"/>
  <c r="H108" i="22" s="1"/>
  <c r="F108" i="23" s="1"/>
  <c r="H108" i="23" s="1"/>
  <c r="F108" i="24" s="1"/>
  <c r="H108" i="24" s="1"/>
  <c r="J105" i="22"/>
  <c r="F105" i="22"/>
  <c r="H105" i="22" s="1"/>
  <c r="F105" i="23" s="1"/>
  <c r="H105" i="23" s="1"/>
  <c r="F105" i="24" s="1"/>
  <c r="H105" i="24" s="1"/>
  <c r="J104" i="22"/>
  <c r="F104" i="22"/>
  <c r="H104" i="22" s="1"/>
  <c r="F104" i="23" s="1"/>
  <c r="H104" i="23" s="1"/>
  <c r="F104" i="24" s="1"/>
  <c r="H104" i="24" s="1"/>
  <c r="J103" i="22"/>
  <c r="F103" i="22"/>
  <c r="H103" i="22" s="1"/>
  <c r="F103" i="23" s="1"/>
  <c r="H103" i="23" s="1"/>
  <c r="F103" i="24" s="1"/>
  <c r="H103" i="24" s="1"/>
  <c r="J102" i="22"/>
  <c r="F102" i="22"/>
  <c r="H102" i="22" s="1"/>
  <c r="F102" i="23" s="1"/>
  <c r="H102" i="23" s="1"/>
  <c r="F102" i="24" s="1"/>
  <c r="H102" i="24" s="1"/>
  <c r="J101" i="22"/>
  <c r="F101" i="22"/>
  <c r="H101" i="22" s="1"/>
  <c r="F101" i="23" s="1"/>
  <c r="H101" i="23" s="1"/>
  <c r="F101" i="24" s="1"/>
  <c r="H101" i="24" s="1"/>
  <c r="J100" i="22"/>
  <c r="F100" i="22"/>
  <c r="H100" i="22" s="1"/>
  <c r="F100" i="23" s="1"/>
  <c r="H100" i="23" s="1"/>
  <c r="F100" i="24" s="1"/>
  <c r="H100" i="24" s="1"/>
  <c r="J99" i="22"/>
  <c r="F99" i="22"/>
  <c r="H99" i="22" s="1"/>
  <c r="F99" i="23" s="1"/>
  <c r="H99" i="23" s="1"/>
  <c r="F99" i="24" s="1"/>
  <c r="H99" i="24" s="1"/>
  <c r="J96" i="22"/>
  <c r="F96" i="22"/>
  <c r="H96" i="22" s="1"/>
  <c r="F96" i="23" s="1"/>
  <c r="H96" i="23" s="1"/>
  <c r="F96" i="24" s="1"/>
  <c r="H96" i="24" s="1"/>
  <c r="J95" i="22"/>
  <c r="F95" i="22"/>
  <c r="H95" i="22" s="1"/>
  <c r="F95" i="23" s="1"/>
  <c r="H95" i="23" s="1"/>
  <c r="F95" i="24" s="1"/>
  <c r="H95" i="24" s="1"/>
  <c r="J94" i="22"/>
  <c r="F94" i="22"/>
  <c r="H94" i="22" s="1"/>
  <c r="F94" i="23" s="1"/>
  <c r="H94" i="23" s="1"/>
  <c r="F94" i="24" s="1"/>
  <c r="H94" i="24" s="1"/>
  <c r="J93" i="22"/>
  <c r="F93" i="22"/>
  <c r="H93" i="22" s="1"/>
  <c r="F93" i="23" s="1"/>
  <c r="H93" i="23" s="1"/>
  <c r="F93" i="24" s="1"/>
  <c r="H93" i="24" s="1"/>
  <c r="J92" i="22"/>
  <c r="F92" i="22"/>
  <c r="H92" i="22" s="1"/>
  <c r="F92" i="23" s="1"/>
  <c r="H92" i="23" s="1"/>
  <c r="F92" i="24" s="1"/>
  <c r="H92" i="24" s="1"/>
  <c r="J91" i="22"/>
  <c r="F91" i="22"/>
  <c r="H91" i="22" s="1"/>
  <c r="F91" i="23" s="1"/>
  <c r="H91" i="23" s="1"/>
  <c r="F91" i="24" s="1"/>
  <c r="H91" i="24" s="1"/>
  <c r="J90" i="22"/>
  <c r="F90" i="22"/>
  <c r="H90" i="22" s="1"/>
  <c r="F90" i="23" s="1"/>
  <c r="H90" i="23" s="1"/>
  <c r="F90" i="24" s="1"/>
  <c r="H90" i="24" s="1"/>
  <c r="J89" i="22"/>
  <c r="F89" i="22"/>
  <c r="H89" i="22" s="1"/>
  <c r="F89" i="23" s="1"/>
  <c r="H89" i="23" s="1"/>
  <c r="F89" i="24" s="1"/>
  <c r="H89" i="24" s="1"/>
  <c r="J84" i="22"/>
  <c r="F84" i="22"/>
  <c r="H84" i="22" s="1"/>
  <c r="F84" i="23" s="1"/>
  <c r="H84" i="23" s="1"/>
  <c r="F84" i="24" s="1"/>
  <c r="H84" i="24" s="1"/>
  <c r="J83" i="22"/>
  <c r="F83" i="22"/>
  <c r="H83" i="22" s="1"/>
  <c r="F83" i="23" s="1"/>
  <c r="H83" i="23" s="1"/>
  <c r="F83" i="24" s="1"/>
  <c r="H83" i="24" s="1"/>
  <c r="J79" i="22"/>
  <c r="F79" i="22"/>
  <c r="H79" i="22" s="1"/>
  <c r="F79" i="23" s="1"/>
  <c r="H79" i="23" s="1"/>
  <c r="F79" i="24" s="1"/>
  <c r="H79" i="24" s="1"/>
  <c r="J78" i="22"/>
  <c r="F78" i="22"/>
  <c r="H78" i="22" s="1"/>
  <c r="F78" i="23" s="1"/>
  <c r="H78" i="23" s="1"/>
  <c r="F78" i="24" s="1"/>
  <c r="H78" i="24" s="1"/>
  <c r="J77" i="22"/>
  <c r="F77" i="22"/>
  <c r="H77" i="22" s="1"/>
  <c r="F77" i="23" s="1"/>
  <c r="H77" i="23" s="1"/>
  <c r="F77" i="24" s="1"/>
  <c r="H77" i="24" s="1"/>
  <c r="J76" i="22"/>
  <c r="F76" i="22"/>
  <c r="H76" i="22" s="1"/>
  <c r="F76" i="23" s="1"/>
  <c r="H76" i="23" s="1"/>
  <c r="F76" i="24" s="1"/>
  <c r="H76" i="24" s="1"/>
  <c r="J75" i="22"/>
  <c r="J74" i="22"/>
  <c r="J73" i="22"/>
  <c r="J72" i="22"/>
  <c r="J71" i="22"/>
  <c r="J70" i="22"/>
  <c r="J69" i="22"/>
  <c r="J68" i="22"/>
  <c r="J67" i="22"/>
  <c r="J65" i="22"/>
  <c r="J64" i="22"/>
  <c r="J63" i="22"/>
  <c r="J62" i="22"/>
  <c r="J61" i="22"/>
  <c r="J60" i="22"/>
  <c r="J59" i="22"/>
  <c r="J58" i="22"/>
  <c r="J56" i="22"/>
  <c r="J55" i="22"/>
  <c r="J54" i="22"/>
  <c r="J53" i="22"/>
  <c r="J51" i="22"/>
  <c r="J50" i="22"/>
  <c r="J48" i="22"/>
  <c r="L48" i="22" s="1"/>
  <c r="J48" i="23" s="1"/>
  <c r="L48" i="23" s="1"/>
  <c r="J48" i="24" s="1"/>
  <c r="L48" i="24" s="1"/>
  <c r="F48" i="22"/>
  <c r="H48" i="22" s="1"/>
  <c r="F48" i="23" s="1"/>
  <c r="H48" i="23" s="1"/>
  <c r="F48" i="24" s="1"/>
  <c r="H48" i="24" s="1"/>
  <c r="F47" i="22"/>
  <c r="H47" i="22" s="1"/>
  <c r="F47" i="23" s="1"/>
  <c r="H47" i="23" s="1"/>
  <c r="F47" i="24" s="1"/>
  <c r="H47" i="24" s="1"/>
  <c r="J46" i="22"/>
  <c r="F46" i="22"/>
  <c r="H46" i="22" s="1"/>
  <c r="F46" i="23" s="1"/>
  <c r="H46" i="23" s="1"/>
  <c r="F46" i="24" s="1"/>
  <c r="H46" i="24" s="1"/>
  <c r="J44" i="22"/>
  <c r="F44" i="22"/>
  <c r="H44" i="22" s="1"/>
  <c r="F44" i="23" s="1"/>
  <c r="H44" i="23" s="1"/>
  <c r="F44" i="24" s="1"/>
  <c r="H44" i="24" s="1"/>
  <c r="F43" i="22"/>
  <c r="H43" i="22" s="1"/>
  <c r="F43" i="23" s="1"/>
  <c r="H43" i="23" s="1"/>
  <c r="F43" i="24" s="1"/>
  <c r="H43" i="24" s="1"/>
  <c r="J38" i="22"/>
  <c r="F38" i="22"/>
  <c r="H38" i="22" s="1"/>
  <c r="F38" i="23" s="1"/>
  <c r="H38" i="23" s="1"/>
  <c r="F38" i="24" s="1"/>
  <c r="H38" i="24" s="1"/>
  <c r="J37" i="22"/>
  <c r="F37" i="22"/>
  <c r="H37" i="22" s="1"/>
  <c r="F37" i="23" s="1"/>
  <c r="H37" i="23" s="1"/>
  <c r="F37" i="24" s="1"/>
  <c r="H37" i="24" s="1"/>
  <c r="J36" i="22"/>
  <c r="F36" i="22"/>
  <c r="H36" i="22" s="1"/>
  <c r="F36" i="23" s="1"/>
  <c r="H36" i="23" s="1"/>
  <c r="F36" i="24" s="1"/>
  <c r="H36" i="24" s="1"/>
  <c r="J35" i="22"/>
  <c r="F35" i="22"/>
  <c r="H35" i="22" s="1"/>
  <c r="F35" i="23" s="1"/>
  <c r="H35" i="23" s="1"/>
  <c r="F35" i="24" s="1"/>
  <c r="H35" i="24" s="1"/>
  <c r="J34" i="22"/>
  <c r="J33" i="22"/>
  <c r="F33" i="22"/>
  <c r="H33" i="22" s="1"/>
  <c r="F33" i="23" s="1"/>
  <c r="H33" i="23" s="1"/>
  <c r="F33" i="24" s="1"/>
  <c r="H33" i="24" s="1"/>
  <c r="J32" i="22"/>
  <c r="F32" i="22"/>
  <c r="H32" i="22" s="1"/>
  <c r="F32" i="23" s="1"/>
  <c r="H32" i="23" s="1"/>
  <c r="F32" i="24" s="1"/>
  <c r="H32" i="24" s="1"/>
  <c r="J31" i="22"/>
  <c r="F31" i="22"/>
  <c r="H31" i="22" s="1"/>
  <c r="F31" i="23" s="1"/>
  <c r="H31" i="23" s="1"/>
  <c r="F31" i="24" s="1"/>
  <c r="H31" i="24" s="1"/>
  <c r="F30" i="22"/>
  <c r="H30" i="22" s="1"/>
  <c r="F30" i="23" s="1"/>
  <c r="H30" i="23" s="1"/>
  <c r="F30" i="24" s="1"/>
  <c r="H30" i="24" s="1"/>
  <c r="J29" i="22"/>
  <c r="F29" i="22"/>
  <c r="H29" i="22" s="1"/>
  <c r="F29" i="23" s="1"/>
  <c r="H29" i="23" s="1"/>
  <c r="F29" i="24" s="1"/>
  <c r="H29" i="24" s="1"/>
  <c r="J27" i="22"/>
  <c r="F27" i="22"/>
  <c r="H27" i="22" s="1"/>
  <c r="F27" i="23" s="1"/>
  <c r="H27" i="23" s="1"/>
  <c r="F27" i="24" s="1"/>
  <c r="H27" i="24" s="1"/>
  <c r="F26" i="22"/>
  <c r="H26" i="22" s="1"/>
  <c r="F26" i="23" s="1"/>
  <c r="H26" i="23" s="1"/>
  <c r="F26" i="24" s="1"/>
  <c r="H26" i="24" s="1"/>
  <c r="J21" i="22"/>
  <c r="F21" i="22"/>
  <c r="H21" i="22" s="1"/>
  <c r="F21" i="23" s="1"/>
  <c r="H21" i="23" s="1"/>
  <c r="F21" i="24" s="1"/>
  <c r="H21" i="24" s="1"/>
  <c r="J20" i="22"/>
  <c r="F20" i="22"/>
  <c r="H20" i="22" s="1"/>
  <c r="F20" i="23" s="1"/>
  <c r="H20" i="23" s="1"/>
  <c r="F20" i="24" s="1"/>
  <c r="H20" i="24" s="1"/>
  <c r="J19" i="22"/>
  <c r="F19" i="22"/>
  <c r="H19" i="22" s="1"/>
  <c r="F19" i="23" s="1"/>
  <c r="H19" i="23" s="1"/>
  <c r="F19" i="24" s="1"/>
  <c r="H19" i="24" s="1"/>
  <c r="J18" i="22"/>
  <c r="F18" i="22"/>
  <c r="H18" i="22" s="1"/>
  <c r="F18" i="23" s="1"/>
  <c r="H18" i="23" s="1"/>
  <c r="F18" i="24" s="1"/>
  <c r="H18" i="24" s="1"/>
  <c r="F17" i="22"/>
  <c r="H17" i="22" s="1"/>
  <c r="F17" i="23" s="1"/>
  <c r="H17" i="23" s="1"/>
  <c r="F17" i="24" s="1"/>
  <c r="H17" i="24" s="1"/>
  <c r="J16" i="22"/>
  <c r="F16" i="22"/>
  <c r="H16" i="22" s="1"/>
  <c r="F16" i="23" s="1"/>
  <c r="H16" i="23" s="1"/>
  <c r="F16" i="24" s="1"/>
  <c r="H16" i="24" s="1"/>
  <c r="J15" i="22"/>
  <c r="F15" i="22"/>
  <c r="H15" i="22" s="1"/>
  <c r="F15" i="23" s="1"/>
  <c r="H15" i="23" s="1"/>
  <c r="F15" i="24" s="1"/>
  <c r="H15" i="24" s="1"/>
  <c r="J14" i="22"/>
  <c r="A13" i="24"/>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39" i="24" s="1"/>
  <c r="A40" i="24" s="1"/>
  <c r="A41" i="24" s="1"/>
  <c r="A42" i="24" s="1"/>
  <c r="A43" i="24" s="1"/>
  <c r="A44" i="24" s="1"/>
  <c r="A45" i="24" s="1"/>
  <c r="A46" i="24" s="1"/>
  <c r="A47" i="24" s="1"/>
  <c r="A48" i="24" s="1"/>
  <c r="A49" i="24" s="1"/>
  <c r="A50" i="24" s="1"/>
  <c r="A51" i="24" s="1"/>
  <c r="A52" i="24" s="1"/>
  <c r="A53" i="24" s="1"/>
  <c r="A54" i="24" s="1"/>
  <c r="A55" i="24" s="1"/>
  <c r="A56" i="24" s="1"/>
  <c r="A57" i="24" s="1"/>
  <c r="A58" i="24" s="1"/>
  <c r="A59" i="24" s="1"/>
  <c r="A60" i="24" s="1"/>
  <c r="A61" i="24" s="1"/>
  <c r="A62"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8" i="24" s="1"/>
  <c r="A89" i="24" s="1"/>
  <c r="A90" i="24" s="1"/>
  <c r="A91" i="24" s="1"/>
  <c r="A92" i="24" s="1"/>
  <c r="A93" i="24" s="1"/>
  <c r="A94" i="24" s="1"/>
  <c r="A95" i="24" s="1"/>
  <c r="A96" i="24" s="1"/>
  <c r="A97" i="24" s="1"/>
  <c r="A98" i="24" s="1"/>
  <c r="A99" i="24" s="1"/>
  <c r="A100" i="24" s="1"/>
  <c r="A101" i="24" s="1"/>
  <c r="A102" i="24" s="1"/>
  <c r="A103" i="24" s="1"/>
  <c r="A104" i="24" s="1"/>
  <c r="A105" i="24" s="1"/>
  <c r="A106" i="24" s="1"/>
  <c r="A107" i="24" s="1"/>
  <c r="A108" i="24" s="1"/>
  <c r="A109" i="24" s="1"/>
  <c r="A110" i="24" s="1"/>
  <c r="A111" i="24" s="1"/>
  <c r="A112" i="24" s="1"/>
  <c r="A113" i="24" s="1"/>
  <c r="A114" i="24" s="1"/>
  <c r="A115" i="24" s="1"/>
  <c r="A116" i="24" s="1"/>
  <c r="A117" i="24" s="1"/>
  <c r="A118" i="24" s="1"/>
  <c r="A119" i="24" s="1"/>
  <c r="A120" i="24" s="1"/>
  <c r="A121" i="24" s="1"/>
  <c r="A122" i="24" s="1"/>
  <c r="A123" i="24" s="1"/>
  <c r="A124" i="24" s="1"/>
  <c r="A125" i="24" s="1"/>
  <c r="A126" i="24" s="1"/>
  <c r="A127" i="24" s="1"/>
  <c r="A128" i="24" s="1"/>
  <c r="A129" i="24" s="1"/>
  <c r="A130" i="24" s="1"/>
  <c r="A131" i="24" s="1"/>
  <c r="A132" i="24" s="1"/>
  <c r="A133" i="24" s="1"/>
  <c r="A134" i="24" s="1"/>
  <c r="A135" i="24" s="1"/>
  <c r="A136" i="24" s="1"/>
  <c r="A137" i="24" s="1"/>
  <c r="A138" i="24" s="1"/>
  <c r="A139" i="24" s="1"/>
  <c r="A140" i="24" s="1"/>
  <c r="A141" i="24" s="1"/>
  <c r="A142" i="24" s="1"/>
  <c r="A143" i="24" s="1"/>
  <c r="A144" i="24" s="1"/>
  <c r="A145" i="24" s="1"/>
  <c r="A146" i="24" s="1"/>
  <c r="A147" i="24" s="1"/>
  <c r="A148" i="24" s="1"/>
  <c r="A149" i="24" s="1"/>
  <c r="A150" i="24" s="1"/>
  <c r="A151" i="24" s="1"/>
  <c r="A152" i="24" s="1"/>
  <c r="A153" i="24" s="1"/>
  <c r="A154" i="24" s="1"/>
  <c r="A155" i="24" s="1"/>
  <c r="A156" i="24" s="1"/>
  <c r="A13" i="22"/>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3" i="22" s="1"/>
  <c r="A104" i="22" s="1"/>
  <c r="A105" i="22" s="1"/>
  <c r="A106" i="22" s="1"/>
  <c r="A107" i="22" s="1"/>
  <c r="A108" i="22" s="1"/>
  <c r="A109" i="22" s="1"/>
  <c r="A110" i="22" s="1"/>
  <c r="A111" i="22" s="1"/>
  <c r="A112" i="22" s="1"/>
  <c r="A113" i="22" s="1"/>
  <c r="A114" i="22" s="1"/>
  <c r="A115" i="22" s="1"/>
  <c r="A116" i="22" s="1"/>
  <c r="A117" i="22" s="1"/>
  <c r="A118" i="22" s="1"/>
  <c r="A119" i="22" s="1"/>
  <c r="A120" i="22" s="1"/>
  <c r="A121" i="22" s="1"/>
  <c r="A122" i="22" s="1"/>
  <c r="A123" i="22" s="1"/>
  <c r="A124" i="22" s="1"/>
  <c r="A125" i="22" s="1"/>
  <c r="A126" i="22" s="1"/>
  <c r="A127" i="22" s="1"/>
  <c r="A128" i="22" s="1"/>
  <c r="A129" i="22" s="1"/>
  <c r="A130" i="22" s="1"/>
  <c r="A131" i="22" s="1"/>
  <c r="A132" i="22" s="1"/>
  <c r="A133" i="22" s="1"/>
  <c r="A134" i="22" s="1"/>
  <c r="A135" i="22" s="1"/>
  <c r="A136" i="22" s="1"/>
  <c r="A137" i="22" s="1"/>
  <c r="A138" i="22" s="1"/>
  <c r="A139" i="22" s="1"/>
  <c r="A140" i="22" s="1"/>
  <c r="A141" i="22" s="1"/>
  <c r="A142" i="22" s="1"/>
  <c r="A143" i="22" s="1"/>
  <c r="A144" i="22" s="1"/>
  <c r="A145" i="22" s="1"/>
  <c r="A146" i="22" s="1"/>
  <c r="A147" i="22" s="1"/>
  <c r="A148" i="22" s="1"/>
  <c r="A149" i="22" s="1"/>
  <c r="A150" i="22" s="1"/>
  <c r="A151" i="22" s="1"/>
  <c r="A152" i="22" s="1"/>
  <c r="A153" i="22" s="1"/>
  <c r="A154" i="22" s="1"/>
  <c r="A155" i="22" s="1"/>
  <c r="A156" i="22" s="1"/>
  <c r="A13" i="1" l="1"/>
  <c r="A14" i="1" s="1"/>
  <c r="A15" i="1" s="1"/>
  <c r="A16" i="1" s="1"/>
  <c r="A17" i="1" l="1"/>
  <c r="A18" i="1" s="1"/>
  <c r="A19" i="1" s="1"/>
  <c r="A20" i="1" s="1"/>
  <c r="A21" i="1" s="1"/>
  <c r="A22" i="1" s="1"/>
  <c r="A23" i="1" s="1"/>
  <c r="A24" i="1" s="1"/>
  <c r="A25" i="1" s="1"/>
  <c r="A26" i="1" s="1"/>
  <c r="S2" i="24"/>
  <c r="S2" i="23"/>
  <c r="S2" i="22"/>
  <c r="A27" i="1" l="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S4" i="24"/>
  <c r="M155" i="24"/>
  <c r="K155" i="24"/>
  <c r="I155" i="24"/>
  <c r="G155" i="24"/>
  <c r="Q154" i="24"/>
  <c r="O154" i="24"/>
  <c r="Q153" i="24"/>
  <c r="O153" i="24"/>
  <c r="Q152" i="24"/>
  <c r="O152" i="24"/>
  <c r="M150" i="24"/>
  <c r="K150" i="24"/>
  <c r="I150" i="24"/>
  <c r="G150" i="24"/>
  <c r="Q149" i="24"/>
  <c r="O149" i="24"/>
  <c r="Q148" i="24"/>
  <c r="O148" i="24"/>
  <c r="Q147" i="24"/>
  <c r="O147" i="24"/>
  <c r="Q146" i="24"/>
  <c r="O146" i="24"/>
  <c r="Q145" i="24"/>
  <c r="O145" i="24"/>
  <c r="M143" i="24"/>
  <c r="K143" i="24"/>
  <c r="I143" i="24"/>
  <c r="G143" i="24"/>
  <c r="Q142" i="24"/>
  <c r="O142" i="24"/>
  <c r="Q141" i="24"/>
  <c r="O141" i="24"/>
  <c r="Q140" i="24"/>
  <c r="O140" i="24"/>
  <c r="Q139" i="24"/>
  <c r="O139" i="24"/>
  <c r="M137" i="24"/>
  <c r="K137" i="24"/>
  <c r="I137" i="24"/>
  <c r="G137" i="24"/>
  <c r="Q136" i="24"/>
  <c r="O136" i="24"/>
  <c r="Q135" i="24"/>
  <c r="O135" i="24"/>
  <c r="Q134" i="24"/>
  <c r="O134" i="24"/>
  <c r="Q133" i="24"/>
  <c r="O133" i="24"/>
  <c r="Q132" i="24"/>
  <c r="O132" i="24"/>
  <c r="M130" i="24"/>
  <c r="K130" i="24"/>
  <c r="I130" i="24"/>
  <c r="G130" i="24"/>
  <c r="Q129" i="24"/>
  <c r="O129" i="24"/>
  <c r="Q128" i="24"/>
  <c r="O128" i="24"/>
  <c r="Q127" i="24"/>
  <c r="O127" i="24"/>
  <c r="Q126" i="24"/>
  <c r="O126" i="24"/>
  <c r="Q125" i="24"/>
  <c r="O125" i="24"/>
  <c r="Q124" i="24"/>
  <c r="O124" i="24"/>
  <c r="Q123" i="24"/>
  <c r="O123" i="24"/>
  <c r="Q122" i="24"/>
  <c r="O122" i="24"/>
  <c r="Q121" i="24"/>
  <c r="O121" i="24"/>
  <c r="M119" i="24"/>
  <c r="K119" i="24"/>
  <c r="I119" i="24"/>
  <c r="G119" i="24"/>
  <c r="Q118" i="24"/>
  <c r="O118" i="24"/>
  <c r="Q117" i="24"/>
  <c r="O117" i="24"/>
  <c r="Q116" i="24"/>
  <c r="O116" i="24"/>
  <c r="Q115" i="24"/>
  <c r="O115" i="24"/>
  <c r="Q114" i="24"/>
  <c r="O114" i="24"/>
  <c r="M112" i="24"/>
  <c r="K112" i="24"/>
  <c r="I112" i="24"/>
  <c r="G112" i="24"/>
  <c r="Q111" i="24"/>
  <c r="O111" i="24"/>
  <c r="Q110" i="24"/>
  <c r="O110" i="24"/>
  <c r="Q109" i="24"/>
  <c r="O109" i="24"/>
  <c r="Q108" i="24"/>
  <c r="O108" i="24"/>
  <c r="M106" i="24"/>
  <c r="K106" i="24"/>
  <c r="I106" i="24"/>
  <c r="G106" i="24"/>
  <c r="Q105" i="24"/>
  <c r="O105" i="24"/>
  <c r="Q104" i="24"/>
  <c r="O104" i="24"/>
  <c r="Q103" i="24"/>
  <c r="O103" i="24"/>
  <c r="Q102" i="24"/>
  <c r="O102" i="24"/>
  <c r="Q101" i="24"/>
  <c r="O101" i="24"/>
  <c r="Q100" i="24"/>
  <c r="O100" i="24"/>
  <c r="Q99" i="24"/>
  <c r="O99" i="24"/>
  <c r="M97" i="24"/>
  <c r="M156" i="24" s="1"/>
  <c r="K97" i="24"/>
  <c r="I97" i="24"/>
  <c r="G97" i="24"/>
  <c r="Q96" i="24"/>
  <c r="O96" i="24"/>
  <c r="Q95" i="24"/>
  <c r="O95" i="24"/>
  <c r="Q94" i="24"/>
  <c r="O94" i="24"/>
  <c r="Q93" i="24"/>
  <c r="O93" i="24"/>
  <c r="Q92" i="24"/>
  <c r="O92" i="24"/>
  <c r="Q91" i="24"/>
  <c r="O91" i="24"/>
  <c r="Q90" i="24"/>
  <c r="O90" i="24"/>
  <c r="Q89" i="24"/>
  <c r="O89" i="24"/>
  <c r="Q84" i="24"/>
  <c r="O84" i="24"/>
  <c r="Q83" i="24"/>
  <c r="O83" i="24"/>
  <c r="M80" i="24"/>
  <c r="K80" i="24"/>
  <c r="I80" i="24"/>
  <c r="G80" i="24"/>
  <c r="Q79" i="24"/>
  <c r="O79" i="24"/>
  <c r="Q78" i="24"/>
  <c r="O78" i="24"/>
  <c r="Q77" i="24"/>
  <c r="O77" i="24"/>
  <c r="Q76" i="24"/>
  <c r="O76" i="24"/>
  <c r="Q75" i="24"/>
  <c r="O75" i="24"/>
  <c r="Q74" i="24"/>
  <c r="O74" i="24"/>
  <c r="Q73" i="24"/>
  <c r="O73" i="24"/>
  <c r="Q72" i="24"/>
  <c r="O72" i="24"/>
  <c r="Q71" i="24"/>
  <c r="O71" i="24"/>
  <c r="Q70" i="24"/>
  <c r="O70" i="24"/>
  <c r="Q69" i="24"/>
  <c r="O69" i="24"/>
  <c r="Q68" i="24"/>
  <c r="O68" i="24"/>
  <c r="Q67" i="24"/>
  <c r="O67" i="24"/>
  <c r="Q65" i="24"/>
  <c r="O65" i="24"/>
  <c r="Q64" i="24"/>
  <c r="O64" i="24"/>
  <c r="Q63" i="24"/>
  <c r="O63" i="24"/>
  <c r="Q62" i="24"/>
  <c r="O62" i="24"/>
  <c r="Q61" i="24"/>
  <c r="O61" i="24"/>
  <c r="Q60" i="24"/>
  <c r="O60" i="24"/>
  <c r="Q59" i="24"/>
  <c r="O59" i="24"/>
  <c r="Q58" i="24"/>
  <c r="O58" i="24"/>
  <c r="Q56" i="24"/>
  <c r="O56" i="24"/>
  <c r="Q55" i="24"/>
  <c r="O55" i="24"/>
  <c r="Q54" i="24"/>
  <c r="O54" i="24"/>
  <c r="Q53" i="24"/>
  <c r="O53" i="24"/>
  <c r="Q51" i="24"/>
  <c r="O51" i="24"/>
  <c r="Q50" i="24"/>
  <c r="O50" i="24"/>
  <c r="Q48" i="24"/>
  <c r="O48" i="24"/>
  <c r="N48" i="24"/>
  <c r="Q47" i="24"/>
  <c r="O47" i="24"/>
  <c r="Q46" i="24"/>
  <c r="O46" i="24"/>
  <c r="Q44" i="24"/>
  <c r="O44" i="24"/>
  <c r="Q43" i="24"/>
  <c r="O43" i="24"/>
  <c r="M39" i="24"/>
  <c r="K39" i="24"/>
  <c r="I39" i="24"/>
  <c r="G39" i="24"/>
  <c r="Q38" i="24"/>
  <c r="O38" i="24"/>
  <c r="Q37" i="24"/>
  <c r="O37" i="24"/>
  <c r="Q36" i="24"/>
  <c r="O36" i="24"/>
  <c r="Q35" i="24"/>
  <c r="O35" i="24"/>
  <c r="Q34" i="24"/>
  <c r="O34" i="24"/>
  <c r="Q33" i="24"/>
  <c r="O33" i="24"/>
  <c r="Q32" i="24"/>
  <c r="O32" i="24"/>
  <c r="Q31" i="24"/>
  <c r="O31" i="24"/>
  <c r="Q30" i="24"/>
  <c r="O30" i="24"/>
  <c r="Q29" i="24"/>
  <c r="O29" i="24"/>
  <c r="Q27" i="24"/>
  <c r="O27" i="24"/>
  <c r="Q26" i="24"/>
  <c r="O26" i="24"/>
  <c r="M22" i="24"/>
  <c r="K22" i="24"/>
  <c r="I22" i="24"/>
  <c r="G22" i="24"/>
  <c r="Q21" i="24"/>
  <c r="O21" i="24"/>
  <c r="Q20" i="24"/>
  <c r="O20" i="24"/>
  <c r="Q19" i="24"/>
  <c r="O19" i="24"/>
  <c r="Q18" i="24"/>
  <c r="O18" i="24"/>
  <c r="Q17" i="24"/>
  <c r="O17" i="24"/>
  <c r="Q16" i="24"/>
  <c r="O16" i="24"/>
  <c r="Q15" i="24"/>
  <c r="O15" i="24"/>
  <c r="Q14" i="24"/>
  <c r="O14" i="24"/>
  <c r="Q13" i="24"/>
  <c r="O13" i="24"/>
  <c r="D4" i="24"/>
  <c r="S3" i="24"/>
  <c r="S3" i="23"/>
  <c r="M155" i="23"/>
  <c r="K155" i="23"/>
  <c r="I155" i="23"/>
  <c r="G155" i="23"/>
  <c r="Q154" i="23"/>
  <c r="O154" i="23"/>
  <c r="Q153" i="23"/>
  <c r="O153" i="23"/>
  <c r="Q152" i="23"/>
  <c r="O152" i="23"/>
  <c r="M150" i="23"/>
  <c r="K150" i="23"/>
  <c r="I150" i="23"/>
  <c r="G150" i="23"/>
  <c r="Q149" i="23"/>
  <c r="O149" i="23"/>
  <c r="Q148" i="23"/>
  <c r="O148" i="23"/>
  <c r="Q147" i="23"/>
  <c r="O147" i="23"/>
  <c r="Q146" i="23"/>
  <c r="O146" i="23"/>
  <c r="Q145" i="23"/>
  <c r="O145" i="23"/>
  <c r="M143" i="23"/>
  <c r="K143" i="23"/>
  <c r="I143" i="23"/>
  <c r="G143" i="23"/>
  <c r="Q142" i="23"/>
  <c r="O142" i="23"/>
  <c r="Q141" i="23"/>
  <c r="O141" i="23"/>
  <c r="Q140" i="23"/>
  <c r="O140" i="23"/>
  <c r="Q139" i="23"/>
  <c r="O139" i="23"/>
  <c r="M137" i="23"/>
  <c r="K137" i="23"/>
  <c r="I137" i="23"/>
  <c r="G137" i="23"/>
  <c r="Q136" i="23"/>
  <c r="O136" i="23"/>
  <c r="Q135" i="23"/>
  <c r="O135" i="23"/>
  <c r="Q134" i="23"/>
  <c r="O134" i="23"/>
  <c r="Q133" i="23"/>
  <c r="O133" i="23"/>
  <c r="Q132" i="23"/>
  <c r="O132" i="23"/>
  <c r="M130" i="23"/>
  <c r="K130" i="23"/>
  <c r="I130" i="23"/>
  <c r="G130" i="23"/>
  <c r="Q129" i="23"/>
  <c r="O129" i="23"/>
  <c r="Q128" i="23"/>
  <c r="O128" i="23"/>
  <c r="Q127" i="23"/>
  <c r="O127" i="23"/>
  <c r="Q126" i="23"/>
  <c r="O126" i="23"/>
  <c r="Q125" i="23"/>
  <c r="O125" i="23"/>
  <c r="Q124" i="23"/>
  <c r="O124" i="23"/>
  <c r="Q123" i="23"/>
  <c r="O123" i="23"/>
  <c r="Q122" i="23"/>
  <c r="O122" i="23"/>
  <c r="Q121" i="23"/>
  <c r="O121" i="23"/>
  <c r="M119" i="23"/>
  <c r="K119" i="23"/>
  <c r="I119" i="23"/>
  <c r="G119" i="23"/>
  <c r="Q118" i="23"/>
  <c r="O118" i="23"/>
  <c r="Q117" i="23"/>
  <c r="O117" i="23"/>
  <c r="Q116" i="23"/>
  <c r="O116" i="23"/>
  <c r="Q115" i="23"/>
  <c r="O115" i="23"/>
  <c r="Q114" i="23"/>
  <c r="O114" i="23"/>
  <c r="M112" i="23"/>
  <c r="K112" i="23"/>
  <c r="I112" i="23"/>
  <c r="G112" i="23"/>
  <c r="Q111" i="23"/>
  <c r="O111" i="23"/>
  <c r="Q110" i="23"/>
  <c r="O110" i="23"/>
  <c r="Q109" i="23"/>
  <c r="O109" i="23"/>
  <c r="Q108" i="23"/>
  <c r="O108" i="23"/>
  <c r="M106" i="23"/>
  <c r="K106" i="23"/>
  <c r="I106" i="23"/>
  <c r="G106" i="23"/>
  <c r="Q105" i="23"/>
  <c r="O105" i="23"/>
  <c r="Q104" i="23"/>
  <c r="O104" i="23"/>
  <c r="Q103" i="23"/>
  <c r="O103" i="23"/>
  <c r="Q102" i="23"/>
  <c r="O102" i="23"/>
  <c r="Q101" i="23"/>
  <c r="O101" i="23"/>
  <c r="Q100" i="23"/>
  <c r="O100" i="23"/>
  <c r="Q99" i="23"/>
  <c r="O99" i="23"/>
  <c r="M97" i="23"/>
  <c r="K97" i="23"/>
  <c r="I97" i="23"/>
  <c r="G97" i="23"/>
  <c r="Q96" i="23"/>
  <c r="O96" i="23"/>
  <c r="Q95" i="23"/>
  <c r="O95" i="23"/>
  <c r="Q94" i="23"/>
  <c r="O94" i="23"/>
  <c r="Q93" i="23"/>
  <c r="O93" i="23"/>
  <c r="Q92" i="23"/>
  <c r="O92" i="23"/>
  <c r="Q91" i="23"/>
  <c r="O91" i="23"/>
  <c r="Q90" i="23"/>
  <c r="O90" i="23"/>
  <c r="Q89" i="23"/>
  <c r="O89" i="23"/>
  <c r="Q84" i="23"/>
  <c r="O84" i="23"/>
  <c r="Q83" i="23"/>
  <c r="O83" i="23"/>
  <c r="M80" i="23"/>
  <c r="K80" i="23"/>
  <c r="I80" i="23"/>
  <c r="G80" i="23"/>
  <c r="Q79" i="23"/>
  <c r="O79" i="23"/>
  <c r="Q78" i="23"/>
  <c r="O78" i="23"/>
  <c r="Q77" i="23"/>
  <c r="O77" i="23"/>
  <c r="Q76" i="23"/>
  <c r="O76" i="23"/>
  <c r="Q75" i="23"/>
  <c r="O75" i="23"/>
  <c r="Q74" i="23"/>
  <c r="O74" i="23"/>
  <c r="Q73" i="23"/>
  <c r="O73" i="23"/>
  <c r="Q72" i="23"/>
  <c r="O72" i="23"/>
  <c r="Q71" i="23"/>
  <c r="O71" i="23"/>
  <c r="Q70" i="23"/>
  <c r="O70" i="23"/>
  <c r="Q69" i="23"/>
  <c r="O69" i="23"/>
  <c r="Q68" i="23"/>
  <c r="O68" i="23"/>
  <c r="Q67" i="23"/>
  <c r="O67" i="23"/>
  <c r="Q65" i="23"/>
  <c r="O65" i="23"/>
  <c r="Q64" i="23"/>
  <c r="O64" i="23"/>
  <c r="Q63" i="23"/>
  <c r="O63" i="23"/>
  <c r="Q62" i="23"/>
  <c r="O62" i="23"/>
  <c r="Q61" i="23"/>
  <c r="O61" i="23"/>
  <c r="Q60" i="23"/>
  <c r="O60" i="23"/>
  <c r="Q59" i="23"/>
  <c r="O59" i="23"/>
  <c r="Q58" i="23"/>
  <c r="O58" i="23"/>
  <c r="Q56" i="23"/>
  <c r="O56" i="23"/>
  <c r="Q55" i="23"/>
  <c r="O55" i="23"/>
  <c r="Q54" i="23"/>
  <c r="O54" i="23"/>
  <c r="Q53" i="23"/>
  <c r="O53" i="23"/>
  <c r="Q51" i="23"/>
  <c r="O51" i="23"/>
  <c r="Q50" i="23"/>
  <c r="O50" i="23"/>
  <c r="Q48" i="23"/>
  <c r="O48" i="23"/>
  <c r="N48" i="23"/>
  <c r="Q47" i="23"/>
  <c r="O47" i="23"/>
  <c r="Q46" i="23"/>
  <c r="O46" i="23"/>
  <c r="Q44" i="23"/>
  <c r="O44" i="23"/>
  <c r="Q43" i="23"/>
  <c r="O43" i="23"/>
  <c r="M39" i="23"/>
  <c r="K39" i="23"/>
  <c r="I39" i="23"/>
  <c r="G39" i="23"/>
  <c r="Q38" i="23"/>
  <c r="O38" i="23"/>
  <c r="Q37" i="23"/>
  <c r="O37" i="23"/>
  <c r="Q36" i="23"/>
  <c r="O36" i="23"/>
  <c r="Q35" i="23"/>
  <c r="O35" i="23"/>
  <c r="Q34" i="23"/>
  <c r="O34" i="23"/>
  <c r="Q33" i="23"/>
  <c r="O33" i="23"/>
  <c r="Q32" i="23"/>
  <c r="O32" i="23"/>
  <c r="Q31" i="23"/>
  <c r="O31" i="23"/>
  <c r="Q30" i="23"/>
  <c r="O30" i="23"/>
  <c r="Q29" i="23"/>
  <c r="O29" i="23"/>
  <c r="Q27" i="23"/>
  <c r="O27" i="23"/>
  <c r="Q26" i="23"/>
  <c r="O26" i="23"/>
  <c r="M22" i="23"/>
  <c r="M85" i="23" s="1"/>
  <c r="K22" i="23"/>
  <c r="K85" i="23" s="1"/>
  <c r="I22" i="23"/>
  <c r="G22" i="23"/>
  <c r="Q21" i="23"/>
  <c r="O21" i="23"/>
  <c r="Q20" i="23"/>
  <c r="O20" i="23"/>
  <c r="Q19" i="23"/>
  <c r="O19" i="23"/>
  <c r="Q18" i="23"/>
  <c r="O18" i="23"/>
  <c r="Q17" i="23"/>
  <c r="O17" i="23"/>
  <c r="Q16" i="23"/>
  <c r="O16" i="23"/>
  <c r="Q15" i="23"/>
  <c r="O15" i="23"/>
  <c r="Q14" i="23"/>
  <c r="O14" i="23"/>
  <c r="Q13" i="23"/>
  <c r="O13" i="23"/>
  <c r="D4" i="23"/>
  <c r="Q39" i="23" l="1"/>
  <c r="O143" i="23"/>
  <c r="O112" i="24"/>
  <c r="Q119" i="24"/>
  <c r="Q106" i="23"/>
  <c r="G85" i="24"/>
  <c r="Q137" i="24"/>
  <c r="M156" i="23"/>
  <c r="A71" i="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Q150" i="24"/>
  <c r="Q119" i="23"/>
  <c r="Q106" i="24"/>
  <c r="P48" i="24"/>
  <c r="S48" i="24" s="1"/>
  <c r="O143" i="24"/>
  <c r="Q150" i="23"/>
  <c r="O112" i="23"/>
  <c r="O130" i="23"/>
  <c r="O155" i="23"/>
  <c r="O130" i="24"/>
  <c r="O155" i="24"/>
  <c r="G85" i="23"/>
  <c r="P48" i="23"/>
  <c r="S48" i="23" s="1"/>
  <c r="Q137" i="23"/>
  <c r="K85" i="24"/>
  <c r="M85" i="24"/>
  <c r="M158" i="24" s="1"/>
  <c r="O97" i="23"/>
  <c r="O22" i="24"/>
  <c r="O39" i="24"/>
  <c r="O22" i="23"/>
  <c r="I85" i="23"/>
  <c r="I156" i="24"/>
  <c r="Q39" i="24"/>
  <c r="Q97" i="24"/>
  <c r="Q22" i="24"/>
  <c r="Q80" i="24"/>
  <c r="G156" i="24"/>
  <c r="G158" i="24" s="1"/>
  <c r="Q143" i="24"/>
  <c r="O97" i="24"/>
  <c r="O119" i="24"/>
  <c r="Q155" i="24"/>
  <c r="I85" i="24"/>
  <c r="O80" i="24"/>
  <c r="K156" i="24"/>
  <c r="Q112" i="24"/>
  <c r="Q130" i="24"/>
  <c r="O137" i="24"/>
  <c r="O106" i="24"/>
  <c r="O150" i="24"/>
  <c r="O39" i="23"/>
  <c r="Q80" i="23"/>
  <c r="M158" i="23"/>
  <c r="Q112" i="23"/>
  <c r="O80" i="23"/>
  <c r="G156" i="23"/>
  <c r="K156" i="23"/>
  <c r="K158" i="23" s="1"/>
  <c r="O106" i="23"/>
  <c r="Q143" i="23"/>
  <c r="Q155" i="23"/>
  <c r="Q22" i="23"/>
  <c r="I156" i="23"/>
  <c r="Q97" i="23"/>
  <c r="O119" i="23"/>
  <c r="O150" i="23"/>
  <c r="Q130" i="23"/>
  <c r="O137" i="23"/>
  <c r="I158" i="23" l="1"/>
  <c r="K158" i="24"/>
  <c r="I158" i="24"/>
  <c r="G158" i="23"/>
  <c r="O85" i="23"/>
  <c r="O156" i="23"/>
  <c r="O85" i="24"/>
  <c r="O156" i="24"/>
  <c r="Q85" i="24"/>
  <c r="Q156" i="24"/>
  <c r="Q85" i="23"/>
  <c r="Q156" i="23"/>
  <c r="O158" i="24" l="1"/>
  <c r="O158" i="23"/>
  <c r="Q158" i="24"/>
  <c r="Q158" i="23"/>
  <c r="L14" i="22" l="1"/>
  <c r="J14" i="23" s="1"/>
  <c r="L21" i="22"/>
  <c r="L20" i="22"/>
  <c r="L19" i="22"/>
  <c r="L18" i="22"/>
  <c r="L16" i="22"/>
  <c r="L15" i="22"/>
  <c r="L27" i="22"/>
  <c r="L38" i="22"/>
  <c r="L37" i="22"/>
  <c r="L36" i="22"/>
  <c r="L35" i="22"/>
  <c r="L34" i="22"/>
  <c r="L33" i="22"/>
  <c r="L32" i="22"/>
  <c r="L31" i="22"/>
  <c r="L29" i="22"/>
  <c r="L44" i="22"/>
  <c r="L46" i="22"/>
  <c r="L51" i="22"/>
  <c r="J51" i="23" s="1"/>
  <c r="L50" i="22"/>
  <c r="J50" i="23" s="1"/>
  <c r="L56" i="22"/>
  <c r="J56" i="23" s="1"/>
  <c r="L55" i="22"/>
  <c r="J55" i="23" s="1"/>
  <c r="L54" i="22"/>
  <c r="J54" i="23" s="1"/>
  <c r="L53" i="22"/>
  <c r="J53" i="23" s="1"/>
  <c r="L79" i="22"/>
  <c r="L78" i="22"/>
  <c r="L77" i="22"/>
  <c r="L76" i="22"/>
  <c r="L75" i="22"/>
  <c r="J75" i="23" s="1"/>
  <c r="L74" i="22"/>
  <c r="J74" i="23" s="1"/>
  <c r="L73" i="22"/>
  <c r="J73" i="23" s="1"/>
  <c r="L72" i="22"/>
  <c r="J72" i="23" s="1"/>
  <c r="L71" i="22"/>
  <c r="J71" i="23" s="1"/>
  <c r="L70" i="22"/>
  <c r="J70" i="23" s="1"/>
  <c r="L69" i="22"/>
  <c r="J69" i="23" s="1"/>
  <c r="L68" i="22"/>
  <c r="J68" i="23" s="1"/>
  <c r="L67" i="22"/>
  <c r="J67" i="23" s="1"/>
  <c r="L65" i="22"/>
  <c r="J65" i="23" s="1"/>
  <c r="L64" i="22"/>
  <c r="J64" i="23" s="1"/>
  <c r="L63" i="22"/>
  <c r="J63" i="23" s="1"/>
  <c r="L62" i="22"/>
  <c r="J62" i="23" s="1"/>
  <c r="L61" i="22"/>
  <c r="J61" i="23" s="1"/>
  <c r="L60" i="22"/>
  <c r="J60" i="23" s="1"/>
  <c r="L59" i="22"/>
  <c r="J59" i="23" s="1"/>
  <c r="L58" i="22"/>
  <c r="J58" i="23" s="1"/>
  <c r="L84" i="22"/>
  <c r="L83" i="22"/>
  <c r="L96" i="22"/>
  <c r="L95" i="22"/>
  <c r="L94" i="22"/>
  <c r="L93" i="22"/>
  <c r="L92" i="22"/>
  <c r="L91" i="22"/>
  <c r="L90" i="22"/>
  <c r="L89" i="22"/>
  <c r="J89" i="23" s="1"/>
  <c r="L105" i="22"/>
  <c r="L104" i="22"/>
  <c r="L103" i="22"/>
  <c r="L102" i="22"/>
  <c r="L101" i="22"/>
  <c r="L100" i="22"/>
  <c r="L99" i="22"/>
  <c r="J99" i="23" s="1"/>
  <c r="L111" i="22"/>
  <c r="L110" i="22"/>
  <c r="L109" i="22"/>
  <c r="L108" i="22"/>
  <c r="J108" i="23" s="1"/>
  <c r="L118" i="22"/>
  <c r="L117" i="22"/>
  <c r="L116" i="22"/>
  <c r="L115" i="22"/>
  <c r="L114" i="22"/>
  <c r="J114" i="23" s="1"/>
  <c r="L129" i="22"/>
  <c r="L128" i="22"/>
  <c r="L126" i="22"/>
  <c r="L125" i="22"/>
  <c r="L124" i="22"/>
  <c r="L123" i="22"/>
  <c r="L122" i="22"/>
  <c r="L121" i="22"/>
  <c r="J121" i="23" s="1"/>
  <c r="L136" i="22"/>
  <c r="L135" i="22"/>
  <c r="L134" i="22"/>
  <c r="L133" i="22"/>
  <c r="L132" i="22"/>
  <c r="J132" i="23" s="1"/>
  <c r="L142" i="22"/>
  <c r="L141" i="22"/>
  <c r="L140" i="22"/>
  <c r="L139" i="22"/>
  <c r="J139" i="23" s="1"/>
  <c r="L149" i="22"/>
  <c r="L148" i="22"/>
  <c r="L147" i="22"/>
  <c r="L146" i="22"/>
  <c r="L145" i="22"/>
  <c r="J145" i="23" s="1"/>
  <c r="L154" i="22"/>
  <c r="L153" i="22"/>
  <c r="L152" i="22"/>
  <c r="J152" i="23" s="1"/>
  <c r="J148" i="23" l="1"/>
  <c r="L148" i="23" s="1"/>
  <c r="J148" i="24" s="1"/>
  <c r="L148" i="24" s="1"/>
  <c r="J141" i="23"/>
  <c r="L141" i="23" s="1"/>
  <c r="J141" i="24" s="1"/>
  <c r="L141" i="24" s="1"/>
  <c r="J122" i="23"/>
  <c r="L122" i="23" s="1"/>
  <c r="J122" i="24" s="1"/>
  <c r="L122" i="24" s="1"/>
  <c r="J126" i="23"/>
  <c r="N126" i="23" s="1"/>
  <c r="P126" i="23" s="1"/>
  <c r="S126" i="23" s="1"/>
  <c r="J118" i="23"/>
  <c r="L118" i="23" s="1"/>
  <c r="J118" i="24" s="1"/>
  <c r="L118" i="24" s="1"/>
  <c r="J83" i="23"/>
  <c r="N83" i="23" s="1"/>
  <c r="P83" i="23" s="1"/>
  <c r="S83" i="23" s="1"/>
  <c r="J27" i="23"/>
  <c r="L27" i="23" s="1"/>
  <c r="J27" i="24" s="1"/>
  <c r="L27" i="24" s="1"/>
  <c r="J142" i="23"/>
  <c r="L142" i="23" s="1"/>
  <c r="J142" i="24" s="1"/>
  <c r="L142" i="24" s="1"/>
  <c r="J123" i="23"/>
  <c r="L123" i="23" s="1"/>
  <c r="J123" i="24" s="1"/>
  <c r="L123" i="24" s="1"/>
  <c r="J115" i="23"/>
  <c r="N115" i="23" s="1"/>
  <c r="P115" i="23" s="1"/>
  <c r="S115" i="23" s="1"/>
  <c r="J103" i="23"/>
  <c r="L103" i="23" s="1"/>
  <c r="J103" i="24" s="1"/>
  <c r="L103" i="24" s="1"/>
  <c r="J84" i="23"/>
  <c r="L84" i="23" s="1"/>
  <c r="J84" i="24" s="1"/>
  <c r="L84" i="24" s="1"/>
  <c r="J78" i="23"/>
  <c r="L78" i="23" s="1"/>
  <c r="J78" i="24" s="1"/>
  <c r="L78" i="24" s="1"/>
  <c r="J46" i="23"/>
  <c r="N46" i="23" s="1"/>
  <c r="P46" i="23" s="1"/>
  <c r="S46" i="23" s="1"/>
  <c r="J36" i="23"/>
  <c r="L36" i="23" s="1"/>
  <c r="J36" i="24" s="1"/>
  <c r="L36" i="24" s="1"/>
  <c r="J15" i="23"/>
  <c r="L15" i="23" s="1"/>
  <c r="J15" i="24" s="1"/>
  <c r="L15" i="24" s="1"/>
  <c r="J146" i="23"/>
  <c r="L146" i="23" s="1"/>
  <c r="J146" i="24" s="1"/>
  <c r="L146" i="24" s="1"/>
  <c r="J136" i="23"/>
  <c r="N136" i="23" s="1"/>
  <c r="P136" i="23" s="1"/>
  <c r="S136" i="23" s="1"/>
  <c r="J124" i="23"/>
  <c r="L124" i="23" s="1"/>
  <c r="J124" i="24" s="1"/>
  <c r="L124" i="24" s="1"/>
  <c r="J128" i="23"/>
  <c r="N128" i="23" s="1"/>
  <c r="P128" i="23" s="1"/>
  <c r="S128" i="23" s="1"/>
  <c r="J116" i="23"/>
  <c r="L116" i="23" s="1"/>
  <c r="J116" i="24" s="1"/>
  <c r="L116" i="24" s="1"/>
  <c r="J109" i="23"/>
  <c r="N109" i="23" s="1"/>
  <c r="P109" i="23" s="1"/>
  <c r="S109" i="23" s="1"/>
  <c r="J100" i="23"/>
  <c r="L100" i="23" s="1"/>
  <c r="J100" i="24" s="1"/>
  <c r="L100" i="24" s="1"/>
  <c r="J104" i="23"/>
  <c r="L104" i="23" s="1"/>
  <c r="J104" i="24" s="1"/>
  <c r="L104" i="24" s="1"/>
  <c r="J91" i="23"/>
  <c r="L91" i="23" s="1"/>
  <c r="J91" i="24" s="1"/>
  <c r="L91" i="24" s="1"/>
  <c r="J95" i="23"/>
  <c r="N95" i="23" s="1"/>
  <c r="P95" i="23" s="1"/>
  <c r="S95" i="23" s="1"/>
  <c r="J79" i="23"/>
  <c r="L79" i="23" s="1"/>
  <c r="J79" i="24" s="1"/>
  <c r="L79" i="24" s="1"/>
  <c r="J44" i="23"/>
  <c r="J33" i="23"/>
  <c r="L33" i="23" s="1"/>
  <c r="J33" i="24" s="1"/>
  <c r="L33" i="24" s="1"/>
  <c r="J37" i="23"/>
  <c r="L37" i="23" s="1"/>
  <c r="J37" i="24" s="1"/>
  <c r="L37" i="24" s="1"/>
  <c r="J16" i="23"/>
  <c r="L16" i="23" s="1"/>
  <c r="J16" i="24" s="1"/>
  <c r="L16" i="24" s="1"/>
  <c r="J21" i="23"/>
  <c r="N21" i="23" s="1"/>
  <c r="P21" i="23" s="1"/>
  <c r="S21" i="23" s="1"/>
  <c r="J154" i="23"/>
  <c r="L154" i="23" s="1"/>
  <c r="J154" i="24" s="1"/>
  <c r="L154" i="24" s="1"/>
  <c r="J134" i="23"/>
  <c r="L134" i="23" s="1"/>
  <c r="J134" i="24" s="1"/>
  <c r="L134" i="24" s="1"/>
  <c r="J111" i="23"/>
  <c r="L111" i="23" s="1"/>
  <c r="J111" i="24" s="1"/>
  <c r="L111" i="24" s="1"/>
  <c r="J102" i="23"/>
  <c r="J93" i="23"/>
  <c r="L93" i="23" s="1"/>
  <c r="J93" i="24" s="1"/>
  <c r="L93" i="24" s="1"/>
  <c r="J77" i="23"/>
  <c r="L77" i="23" s="1"/>
  <c r="J77" i="24" s="1"/>
  <c r="L77" i="24" s="1"/>
  <c r="J31" i="23"/>
  <c r="L31" i="23" s="1"/>
  <c r="J31" i="24" s="1"/>
  <c r="L31" i="24" s="1"/>
  <c r="J35" i="23"/>
  <c r="N35" i="23" s="1"/>
  <c r="P35" i="23" s="1"/>
  <c r="S35" i="23" s="1"/>
  <c r="J19" i="23"/>
  <c r="L19" i="23" s="1"/>
  <c r="J19" i="24" s="1"/>
  <c r="L19" i="24" s="1"/>
  <c r="J149" i="23"/>
  <c r="N149" i="23" s="1"/>
  <c r="P149" i="23" s="1"/>
  <c r="S149" i="23" s="1"/>
  <c r="J135" i="23"/>
  <c r="L135" i="23" s="1"/>
  <c r="J135" i="24" s="1"/>
  <c r="L135" i="24" s="1"/>
  <c r="J90" i="23"/>
  <c r="L90" i="23" s="1"/>
  <c r="J90" i="24" s="1"/>
  <c r="L90" i="24" s="1"/>
  <c r="J94" i="23"/>
  <c r="L94" i="23" s="1"/>
  <c r="J94" i="24" s="1"/>
  <c r="L94" i="24" s="1"/>
  <c r="J32" i="23"/>
  <c r="L32" i="23" s="1"/>
  <c r="J32" i="24" s="1"/>
  <c r="L32" i="24" s="1"/>
  <c r="J20" i="23"/>
  <c r="L20" i="23" s="1"/>
  <c r="J20" i="24" s="1"/>
  <c r="L20" i="24" s="1"/>
  <c r="J153" i="23"/>
  <c r="L153" i="23" s="1"/>
  <c r="J153" i="24" s="1"/>
  <c r="L153" i="24" s="1"/>
  <c r="J147" i="23"/>
  <c r="N147" i="23" s="1"/>
  <c r="P147" i="23" s="1"/>
  <c r="S147" i="23" s="1"/>
  <c r="J140" i="23"/>
  <c r="L140" i="23" s="1"/>
  <c r="J140" i="24" s="1"/>
  <c r="L140" i="24" s="1"/>
  <c r="J133" i="23"/>
  <c r="J125" i="23"/>
  <c r="L125" i="23" s="1"/>
  <c r="J125" i="24" s="1"/>
  <c r="L125" i="24" s="1"/>
  <c r="J129" i="23"/>
  <c r="L129" i="23" s="1"/>
  <c r="J129" i="24" s="1"/>
  <c r="L129" i="24" s="1"/>
  <c r="J117" i="23"/>
  <c r="L117" i="23" s="1"/>
  <c r="J117" i="24" s="1"/>
  <c r="L117" i="24" s="1"/>
  <c r="J110" i="23"/>
  <c r="N110" i="23" s="1"/>
  <c r="P110" i="23" s="1"/>
  <c r="S110" i="23" s="1"/>
  <c r="J101" i="23"/>
  <c r="L101" i="23" s="1"/>
  <c r="J101" i="24" s="1"/>
  <c r="L101" i="24" s="1"/>
  <c r="J105" i="23"/>
  <c r="N105" i="23" s="1"/>
  <c r="P105" i="23" s="1"/>
  <c r="S105" i="23" s="1"/>
  <c r="J92" i="23"/>
  <c r="L92" i="23" s="1"/>
  <c r="J92" i="24" s="1"/>
  <c r="L92" i="24" s="1"/>
  <c r="J96" i="23"/>
  <c r="L96" i="23" s="1"/>
  <c r="J96" i="24" s="1"/>
  <c r="L96" i="24" s="1"/>
  <c r="J76" i="23"/>
  <c r="L76" i="23" s="1"/>
  <c r="J76" i="24" s="1"/>
  <c r="L76" i="24" s="1"/>
  <c r="J29" i="23"/>
  <c r="N29" i="23" s="1"/>
  <c r="P29" i="23" s="1"/>
  <c r="S29" i="23" s="1"/>
  <c r="J34" i="23"/>
  <c r="L34" i="23" s="1"/>
  <c r="J34" i="24" s="1"/>
  <c r="L34" i="24" s="1"/>
  <c r="J38" i="23"/>
  <c r="N38" i="23" s="1"/>
  <c r="P38" i="23" s="1"/>
  <c r="S38" i="23" s="1"/>
  <c r="J18" i="23"/>
  <c r="L18" i="23" s="1"/>
  <c r="J18" i="24" s="1"/>
  <c r="L18" i="24" s="1"/>
  <c r="L152" i="23"/>
  <c r="J152" i="24" s="1"/>
  <c r="L145" i="23"/>
  <c r="J145" i="24" s="1"/>
  <c r="L139" i="23"/>
  <c r="J139" i="24" s="1"/>
  <c r="L132" i="23"/>
  <c r="J132" i="24" s="1"/>
  <c r="L121" i="23"/>
  <c r="J121" i="24" s="1"/>
  <c r="L114" i="23"/>
  <c r="J114" i="24" s="1"/>
  <c r="L108" i="23"/>
  <c r="J108" i="24" s="1"/>
  <c r="L99" i="23"/>
  <c r="J99" i="24" s="1"/>
  <c r="L89" i="23"/>
  <c r="J89" i="24" s="1"/>
  <c r="N61" i="23"/>
  <c r="P61" i="23" s="1"/>
  <c r="S61" i="23" s="1"/>
  <c r="L61" i="23"/>
  <c r="J61" i="24" s="1"/>
  <c r="N58" i="23"/>
  <c r="P58" i="23" s="1"/>
  <c r="S58" i="23" s="1"/>
  <c r="L58" i="23"/>
  <c r="J58" i="24" s="1"/>
  <c r="N59" i="23"/>
  <c r="P59" i="23" s="1"/>
  <c r="S59" i="23" s="1"/>
  <c r="L59" i="23"/>
  <c r="J59" i="24" s="1"/>
  <c r="N65" i="23"/>
  <c r="P65" i="23" s="1"/>
  <c r="S65" i="23" s="1"/>
  <c r="L65" i="23"/>
  <c r="J65" i="24" s="1"/>
  <c r="N70" i="23"/>
  <c r="P70" i="23" s="1"/>
  <c r="S70" i="23" s="1"/>
  <c r="L70" i="23"/>
  <c r="J70" i="24" s="1"/>
  <c r="N74" i="23"/>
  <c r="P74" i="23" s="1"/>
  <c r="S74" i="23" s="1"/>
  <c r="L74" i="23"/>
  <c r="J74" i="24" s="1"/>
  <c r="L62" i="23"/>
  <c r="J62" i="24" s="1"/>
  <c r="N62" i="23"/>
  <c r="P62" i="23" s="1"/>
  <c r="S62" i="23" s="1"/>
  <c r="L67" i="23"/>
  <c r="J67" i="24" s="1"/>
  <c r="N67" i="23"/>
  <c r="P67" i="23" s="1"/>
  <c r="S67" i="23" s="1"/>
  <c r="N71" i="23"/>
  <c r="P71" i="23" s="1"/>
  <c r="S71" i="23" s="1"/>
  <c r="L71" i="23"/>
  <c r="J71" i="24" s="1"/>
  <c r="N75" i="23"/>
  <c r="P75" i="23" s="1"/>
  <c r="S75" i="23" s="1"/>
  <c r="L75" i="23"/>
  <c r="J75" i="24" s="1"/>
  <c r="N63" i="23"/>
  <c r="P63" i="23" s="1"/>
  <c r="S63" i="23" s="1"/>
  <c r="L63" i="23"/>
  <c r="J63" i="24" s="1"/>
  <c r="N68" i="23"/>
  <c r="P68" i="23" s="1"/>
  <c r="S68" i="23" s="1"/>
  <c r="L68" i="23"/>
  <c r="J68" i="24" s="1"/>
  <c r="N72" i="23"/>
  <c r="P72" i="23" s="1"/>
  <c r="S72" i="23" s="1"/>
  <c r="L72" i="23"/>
  <c r="J72" i="24" s="1"/>
  <c r="L60" i="23"/>
  <c r="J60" i="24" s="1"/>
  <c r="N60" i="23"/>
  <c r="P60" i="23" s="1"/>
  <c r="S60" i="23" s="1"/>
  <c r="L64" i="23"/>
  <c r="J64" i="24" s="1"/>
  <c r="N64" i="23"/>
  <c r="P64" i="23" s="1"/>
  <c r="S64" i="23" s="1"/>
  <c r="N69" i="23"/>
  <c r="P69" i="23" s="1"/>
  <c r="S69" i="23" s="1"/>
  <c r="L69" i="23"/>
  <c r="J69" i="24" s="1"/>
  <c r="N73" i="23"/>
  <c r="P73" i="23" s="1"/>
  <c r="S73" i="23" s="1"/>
  <c r="L73" i="23"/>
  <c r="J73" i="24" s="1"/>
  <c r="N56" i="23"/>
  <c r="P56" i="23" s="1"/>
  <c r="S56" i="23" s="1"/>
  <c r="L56" i="23"/>
  <c r="J56" i="24" s="1"/>
  <c r="L55" i="23"/>
  <c r="J55" i="24" s="1"/>
  <c r="N55" i="23"/>
  <c r="P55" i="23" s="1"/>
  <c r="S55" i="23" s="1"/>
  <c r="N53" i="23"/>
  <c r="P53" i="23" s="1"/>
  <c r="S53" i="23" s="1"/>
  <c r="L53" i="23"/>
  <c r="J53" i="24" s="1"/>
  <c r="L54" i="23"/>
  <c r="J54" i="24" s="1"/>
  <c r="N54" i="23"/>
  <c r="P54" i="23" s="1"/>
  <c r="S54" i="23" s="1"/>
  <c r="L50" i="23"/>
  <c r="J50" i="24" s="1"/>
  <c r="N50" i="23"/>
  <c r="P50" i="23" s="1"/>
  <c r="S50" i="23" s="1"/>
  <c r="L51" i="23"/>
  <c r="J51" i="24" s="1"/>
  <c r="N51" i="23"/>
  <c r="P51" i="23" s="1"/>
  <c r="S51" i="23" s="1"/>
  <c r="N47" i="23"/>
  <c r="P47" i="23" s="1"/>
  <c r="S47" i="23" s="1"/>
  <c r="L14" i="23"/>
  <c r="J14" i="24" s="1"/>
  <c r="N14" i="23"/>
  <c r="P14" i="23" s="1"/>
  <c r="S14" i="23" s="1"/>
  <c r="F155" i="23"/>
  <c r="N152" i="23"/>
  <c r="N145" i="23"/>
  <c r="F150" i="23"/>
  <c r="F143" i="23"/>
  <c r="N139" i="23"/>
  <c r="F137" i="23"/>
  <c r="N132" i="23"/>
  <c r="N121" i="23"/>
  <c r="F119" i="23"/>
  <c r="N114" i="23"/>
  <c r="N108" i="23"/>
  <c r="F112" i="23"/>
  <c r="F106" i="23"/>
  <c r="N99" i="23"/>
  <c r="F97" i="23"/>
  <c r="N89" i="23"/>
  <c r="N76" i="23"/>
  <c r="P76" i="23" s="1"/>
  <c r="S76" i="23" s="1"/>
  <c r="N79" i="23"/>
  <c r="P79" i="23" s="1"/>
  <c r="S79" i="23" s="1"/>
  <c r="F80" i="23"/>
  <c r="N43" i="23"/>
  <c r="N30" i="23"/>
  <c r="P30" i="23" s="1"/>
  <c r="S30" i="23" s="1"/>
  <c r="N26" i="23"/>
  <c r="N17" i="23"/>
  <c r="P17" i="23" s="1"/>
  <c r="S17" i="23" s="1"/>
  <c r="G155" i="22"/>
  <c r="H155" i="22"/>
  <c r="I155" i="22"/>
  <c r="J155" i="22"/>
  <c r="K155" i="22"/>
  <c r="L155" i="22"/>
  <c r="M155" i="22"/>
  <c r="G150" i="22"/>
  <c r="H150" i="22"/>
  <c r="I150" i="22"/>
  <c r="J150" i="22"/>
  <c r="K150" i="22"/>
  <c r="L150" i="22"/>
  <c r="M150" i="22"/>
  <c r="G143" i="22"/>
  <c r="H143" i="22"/>
  <c r="I143" i="22"/>
  <c r="J143" i="22"/>
  <c r="K143" i="22"/>
  <c r="L143" i="22"/>
  <c r="M143" i="22"/>
  <c r="G137" i="22"/>
  <c r="H137" i="22"/>
  <c r="I137" i="22"/>
  <c r="J137" i="22"/>
  <c r="K137" i="22"/>
  <c r="L137" i="22"/>
  <c r="M137" i="22"/>
  <c r="G130" i="22"/>
  <c r="I130" i="22"/>
  <c r="K130" i="22"/>
  <c r="M130" i="22"/>
  <c r="G119" i="22"/>
  <c r="H119" i="22"/>
  <c r="I119" i="22"/>
  <c r="J119" i="22"/>
  <c r="K119" i="22"/>
  <c r="L119" i="22"/>
  <c r="M119" i="22"/>
  <c r="G112" i="22"/>
  <c r="H112" i="22"/>
  <c r="I112" i="22"/>
  <c r="J112" i="22"/>
  <c r="K112" i="22"/>
  <c r="L112" i="22"/>
  <c r="M112" i="22"/>
  <c r="G106" i="22"/>
  <c r="H106" i="22"/>
  <c r="I106" i="22"/>
  <c r="J106" i="22"/>
  <c r="K106" i="22"/>
  <c r="L106" i="22"/>
  <c r="M106" i="22"/>
  <c r="G97" i="22"/>
  <c r="H97" i="22"/>
  <c r="I97" i="22"/>
  <c r="J97" i="22"/>
  <c r="K97" i="22"/>
  <c r="L97" i="22"/>
  <c r="M97" i="22"/>
  <c r="Q154" i="22"/>
  <c r="O154" i="22"/>
  <c r="N154" i="22"/>
  <c r="Q153" i="22"/>
  <c r="O153" i="22"/>
  <c r="N153" i="22"/>
  <c r="Q152" i="22"/>
  <c r="O152" i="22"/>
  <c r="N152" i="22"/>
  <c r="Q149" i="22"/>
  <c r="O149" i="22"/>
  <c r="N149" i="22"/>
  <c r="Q148" i="22"/>
  <c r="O148" i="22"/>
  <c r="N148" i="22"/>
  <c r="Q147" i="22"/>
  <c r="O147" i="22"/>
  <c r="N147" i="22"/>
  <c r="Q146" i="22"/>
  <c r="O146" i="22"/>
  <c r="N146" i="22"/>
  <c r="Q145" i="22"/>
  <c r="O145" i="22"/>
  <c r="N145" i="22"/>
  <c r="Q142" i="22"/>
  <c r="O142" i="22"/>
  <c r="N142" i="22"/>
  <c r="Q141" i="22"/>
  <c r="O141" i="22"/>
  <c r="N141" i="22"/>
  <c r="Q140" i="22"/>
  <c r="O140" i="22"/>
  <c r="N140" i="22"/>
  <c r="Q139" i="22"/>
  <c r="O139" i="22"/>
  <c r="N139" i="22"/>
  <c r="Q136" i="22"/>
  <c r="O136" i="22"/>
  <c r="N136" i="22"/>
  <c r="Q135" i="22"/>
  <c r="O135" i="22"/>
  <c r="N135" i="22"/>
  <c r="Q134" i="22"/>
  <c r="O134" i="22"/>
  <c r="N134" i="22"/>
  <c r="Q133" i="22"/>
  <c r="O133" i="22"/>
  <c r="N133" i="22"/>
  <c r="P133" i="22" s="1"/>
  <c r="Q132" i="22"/>
  <c r="O132" i="22"/>
  <c r="N132" i="22"/>
  <c r="Q129" i="22"/>
  <c r="O129" i="22"/>
  <c r="N129" i="22"/>
  <c r="Q128" i="22"/>
  <c r="O128" i="22"/>
  <c r="N128" i="22"/>
  <c r="Q127" i="22"/>
  <c r="O127" i="22"/>
  <c r="Q126" i="22"/>
  <c r="O126" i="22"/>
  <c r="N126" i="22"/>
  <c r="Q125" i="22"/>
  <c r="O125" i="22"/>
  <c r="N125" i="22"/>
  <c r="Q124" i="22"/>
  <c r="O124" i="22"/>
  <c r="N124" i="22"/>
  <c r="Q123" i="22"/>
  <c r="O123" i="22"/>
  <c r="N123" i="22"/>
  <c r="P123" i="22" s="1"/>
  <c r="Q122" i="22"/>
  <c r="O122" i="22"/>
  <c r="N122" i="22"/>
  <c r="Q121" i="22"/>
  <c r="O121" i="22"/>
  <c r="N121" i="22"/>
  <c r="Q118" i="22"/>
  <c r="O118" i="22"/>
  <c r="N118" i="22"/>
  <c r="Q117" i="22"/>
  <c r="O117" i="22"/>
  <c r="N117" i="22"/>
  <c r="P117" i="22" s="1"/>
  <c r="Q116" i="22"/>
  <c r="O116" i="22"/>
  <c r="N116" i="22"/>
  <c r="Q115" i="22"/>
  <c r="O115" i="22"/>
  <c r="N115" i="22"/>
  <c r="Q114" i="22"/>
  <c r="O114" i="22"/>
  <c r="N114" i="22"/>
  <c r="Q111" i="22"/>
  <c r="O111" i="22"/>
  <c r="N111" i="22"/>
  <c r="Q110" i="22"/>
  <c r="O110" i="22"/>
  <c r="N110" i="22"/>
  <c r="Q109" i="22"/>
  <c r="O109" i="22"/>
  <c r="N109" i="22"/>
  <c r="Q108" i="22"/>
  <c r="O108" i="22"/>
  <c r="N108" i="22"/>
  <c r="Q105" i="22"/>
  <c r="O105" i="22"/>
  <c r="N105" i="22"/>
  <c r="P105" i="22" s="1"/>
  <c r="Q104" i="22"/>
  <c r="O104" i="22"/>
  <c r="N104" i="22"/>
  <c r="Q103" i="22"/>
  <c r="O103" i="22"/>
  <c r="N103" i="22"/>
  <c r="Q102" i="22"/>
  <c r="O102" i="22"/>
  <c r="N102" i="22"/>
  <c r="Q101" i="22"/>
  <c r="O101" i="22"/>
  <c r="N101" i="22"/>
  <c r="P101" i="22" s="1"/>
  <c r="Q100" i="22"/>
  <c r="O100" i="22"/>
  <c r="N100" i="22"/>
  <c r="Q99" i="22"/>
  <c r="O99" i="22"/>
  <c r="N99" i="22"/>
  <c r="Q96" i="22"/>
  <c r="O96" i="22"/>
  <c r="N96" i="22"/>
  <c r="Q95" i="22"/>
  <c r="O95" i="22"/>
  <c r="N95" i="22"/>
  <c r="Q94" i="22"/>
  <c r="O94" i="22"/>
  <c r="N94" i="22"/>
  <c r="Q93" i="22"/>
  <c r="O93" i="22"/>
  <c r="N93" i="22"/>
  <c r="Q92" i="22"/>
  <c r="O92" i="22"/>
  <c r="N92" i="22"/>
  <c r="Q91" i="22"/>
  <c r="O91" i="22"/>
  <c r="N91" i="22"/>
  <c r="P91" i="22" s="1"/>
  <c r="Q90" i="22"/>
  <c r="O90" i="22"/>
  <c r="N90" i="22"/>
  <c r="Q89" i="22"/>
  <c r="O89" i="22"/>
  <c r="N89" i="22"/>
  <c r="G80" i="22"/>
  <c r="H80" i="22"/>
  <c r="I80" i="22"/>
  <c r="J80" i="22"/>
  <c r="K80" i="22"/>
  <c r="L80" i="22"/>
  <c r="M80" i="22"/>
  <c r="G39" i="22"/>
  <c r="I39" i="22"/>
  <c r="J39" i="22"/>
  <c r="K39" i="22"/>
  <c r="L39" i="22"/>
  <c r="M39" i="22"/>
  <c r="Q84" i="22"/>
  <c r="O84" i="22"/>
  <c r="N84" i="22"/>
  <c r="P84" i="22" s="1"/>
  <c r="Q83" i="22"/>
  <c r="O83" i="22"/>
  <c r="N83" i="22"/>
  <c r="Q79" i="22"/>
  <c r="O79" i="22"/>
  <c r="N79" i="22"/>
  <c r="Q78" i="22"/>
  <c r="O78" i="22"/>
  <c r="N78" i="22"/>
  <c r="Q77" i="22"/>
  <c r="O77" i="22"/>
  <c r="N77" i="22"/>
  <c r="Q76" i="22"/>
  <c r="O76" i="22"/>
  <c r="N76" i="22"/>
  <c r="Q75" i="22"/>
  <c r="O75" i="22"/>
  <c r="N75" i="22"/>
  <c r="Q74" i="22"/>
  <c r="O74" i="22"/>
  <c r="N74" i="22"/>
  <c r="Q73" i="22"/>
  <c r="O73" i="22"/>
  <c r="N73" i="22"/>
  <c r="Q72" i="22"/>
  <c r="O72" i="22"/>
  <c r="N72" i="22"/>
  <c r="Q71" i="22"/>
  <c r="O71" i="22"/>
  <c r="N71" i="22"/>
  <c r="Q70" i="22"/>
  <c r="O70" i="22"/>
  <c r="N70" i="22"/>
  <c r="Q69" i="22"/>
  <c r="O69" i="22"/>
  <c r="N69" i="22"/>
  <c r="Q68" i="22"/>
  <c r="O68" i="22"/>
  <c r="N68" i="22"/>
  <c r="Q67" i="22"/>
  <c r="O67" i="22"/>
  <c r="N67" i="22"/>
  <c r="Q65" i="22"/>
  <c r="O65" i="22"/>
  <c r="N65" i="22"/>
  <c r="Q64" i="22"/>
  <c r="O64" i="22"/>
  <c r="N64" i="22"/>
  <c r="Q63" i="22"/>
  <c r="O63" i="22"/>
  <c r="N63" i="22"/>
  <c r="Q62" i="22"/>
  <c r="O62" i="22"/>
  <c r="N62" i="22"/>
  <c r="Q61" i="22"/>
  <c r="O61" i="22"/>
  <c r="N61" i="22"/>
  <c r="Q60" i="22"/>
  <c r="O60" i="22"/>
  <c r="N60" i="22"/>
  <c r="Q59" i="22"/>
  <c r="O59" i="22"/>
  <c r="N59" i="22"/>
  <c r="Q58" i="22"/>
  <c r="O58" i="22"/>
  <c r="N58" i="22"/>
  <c r="Q56" i="22"/>
  <c r="O56" i="22"/>
  <c r="N56" i="22"/>
  <c r="Q55" i="22"/>
  <c r="O55" i="22"/>
  <c r="N55" i="22"/>
  <c r="P55" i="22" s="1"/>
  <c r="Q54" i="22"/>
  <c r="O54" i="22"/>
  <c r="N54" i="22"/>
  <c r="Q53" i="22"/>
  <c r="O53" i="22"/>
  <c r="N53" i="22"/>
  <c r="Q51" i="22"/>
  <c r="O51" i="22"/>
  <c r="N51" i="22"/>
  <c r="Q50" i="22"/>
  <c r="O50" i="22"/>
  <c r="N50" i="22"/>
  <c r="Q48" i="22"/>
  <c r="O48" i="22"/>
  <c r="N48" i="22"/>
  <c r="Q47" i="22"/>
  <c r="O47" i="22"/>
  <c r="N47" i="22"/>
  <c r="Q46" i="22"/>
  <c r="O46" i="22"/>
  <c r="N46" i="22"/>
  <c r="Q44" i="22"/>
  <c r="O44" i="22"/>
  <c r="N44" i="22"/>
  <c r="P44" i="22" s="1"/>
  <c r="Q43" i="22"/>
  <c r="O43" i="22"/>
  <c r="N43" i="22"/>
  <c r="Q38" i="22"/>
  <c r="O38" i="22"/>
  <c r="N38" i="22"/>
  <c r="Q37" i="22"/>
  <c r="O37" i="22"/>
  <c r="N37" i="22"/>
  <c r="Q36" i="22"/>
  <c r="O36" i="22"/>
  <c r="N36" i="22"/>
  <c r="P36" i="22" s="1"/>
  <c r="Q35" i="22"/>
  <c r="O35" i="22"/>
  <c r="N35" i="22"/>
  <c r="Q34" i="22"/>
  <c r="O34" i="22"/>
  <c r="Q33" i="22"/>
  <c r="O33" i="22"/>
  <c r="N33" i="22"/>
  <c r="Q32" i="22"/>
  <c r="O32" i="22"/>
  <c r="N32" i="22"/>
  <c r="P32" i="22" s="1"/>
  <c r="Q31" i="22"/>
  <c r="O31" i="22"/>
  <c r="N31" i="22"/>
  <c r="Q30" i="22"/>
  <c r="O30" i="22"/>
  <c r="N30" i="22"/>
  <c r="Q29" i="22"/>
  <c r="O29" i="22"/>
  <c r="N29" i="22"/>
  <c r="Q27" i="22"/>
  <c r="O27" i="22"/>
  <c r="N27" i="22"/>
  <c r="P27" i="22" s="1"/>
  <c r="Q26" i="22"/>
  <c r="O26" i="22"/>
  <c r="N26" i="22"/>
  <c r="G22" i="22"/>
  <c r="I22" i="22"/>
  <c r="K22" i="22"/>
  <c r="M22" i="22"/>
  <c r="D4" i="22"/>
  <c r="F155" i="1"/>
  <c r="F150" i="1"/>
  <c r="F143" i="1"/>
  <c r="J80" i="23" l="1"/>
  <c r="N116" i="23"/>
  <c r="P116" i="23" s="1"/>
  <c r="S116" i="23" s="1"/>
  <c r="N19" i="23"/>
  <c r="P19" i="23" s="1"/>
  <c r="S19" i="23" s="1"/>
  <c r="N91" i="23"/>
  <c r="P91" i="23" s="1"/>
  <c r="S91" i="23" s="1"/>
  <c r="N123" i="23"/>
  <c r="P123" i="23" s="1"/>
  <c r="S123" i="23" s="1"/>
  <c r="N111" i="23"/>
  <c r="P111" i="23" s="1"/>
  <c r="S111" i="23" s="1"/>
  <c r="N124" i="23"/>
  <c r="P124" i="23" s="1"/>
  <c r="S124" i="23" s="1"/>
  <c r="N118" i="23"/>
  <c r="P118" i="23" s="1"/>
  <c r="S118" i="23" s="1"/>
  <c r="N153" i="23"/>
  <c r="P153" i="23" s="1"/>
  <c r="S153" i="23" s="1"/>
  <c r="N18" i="23"/>
  <c r="P18" i="23" s="1"/>
  <c r="S18" i="23" s="1"/>
  <c r="N125" i="23"/>
  <c r="P125" i="23" s="1"/>
  <c r="S125" i="23" s="1"/>
  <c r="J137" i="23"/>
  <c r="N93" i="23"/>
  <c r="P93" i="23" s="1"/>
  <c r="S93" i="23" s="1"/>
  <c r="N90" i="23"/>
  <c r="P90" i="23" s="1"/>
  <c r="S90" i="23" s="1"/>
  <c r="S32" i="22"/>
  <c r="S44" i="22"/>
  <c r="S55" i="22"/>
  <c r="S84" i="22"/>
  <c r="S91" i="22"/>
  <c r="S101" i="22"/>
  <c r="S123" i="22"/>
  <c r="S133" i="22"/>
  <c r="J106" i="23"/>
  <c r="S27" i="22"/>
  <c r="S36" i="22"/>
  <c r="S105" i="22"/>
  <c r="S117" i="22"/>
  <c r="N27" i="23"/>
  <c r="P27" i="23" s="1"/>
  <c r="S27" i="23" s="1"/>
  <c r="N94" i="23"/>
  <c r="P94" i="23" s="1"/>
  <c r="S94" i="23" s="1"/>
  <c r="N134" i="23"/>
  <c r="P134" i="23" s="1"/>
  <c r="S134" i="23" s="1"/>
  <c r="N100" i="23"/>
  <c r="P100" i="23" s="1"/>
  <c r="S100" i="23" s="1"/>
  <c r="N32" i="23"/>
  <c r="P32" i="23" s="1"/>
  <c r="S32" i="23" s="1"/>
  <c r="N16" i="23"/>
  <c r="P16" i="23" s="1"/>
  <c r="S16" i="23" s="1"/>
  <c r="N36" i="23"/>
  <c r="P36" i="23" s="1"/>
  <c r="S36" i="23" s="1"/>
  <c r="N33" i="23"/>
  <c r="P33" i="23" s="1"/>
  <c r="S33" i="23" s="1"/>
  <c r="N78" i="23"/>
  <c r="P78" i="23" s="1"/>
  <c r="S78" i="23" s="1"/>
  <c r="N146" i="23"/>
  <c r="P146" i="23" s="1"/>
  <c r="S146" i="23" s="1"/>
  <c r="N154" i="23"/>
  <c r="P154" i="23" s="1"/>
  <c r="S154" i="23" s="1"/>
  <c r="P92" i="22"/>
  <c r="S92" i="22" s="1"/>
  <c r="P96" i="22"/>
  <c r="S96" i="22" s="1"/>
  <c r="P108" i="22"/>
  <c r="S108" i="22" s="1"/>
  <c r="P118" i="22"/>
  <c r="S118" i="22" s="1"/>
  <c r="P140" i="22"/>
  <c r="S140" i="22" s="1"/>
  <c r="P146" i="22"/>
  <c r="S146" i="22" s="1"/>
  <c r="P152" i="22"/>
  <c r="S152" i="22" s="1"/>
  <c r="N92" i="23"/>
  <c r="P92" i="23" s="1"/>
  <c r="S92" i="23" s="1"/>
  <c r="N103" i="23"/>
  <c r="P103" i="23" s="1"/>
  <c r="S103" i="23" s="1"/>
  <c r="N122" i="23"/>
  <c r="P122" i="23" s="1"/>
  <c r="S122" i="23" s="1"/>
  <c r="N140" i="23"/>
  <c r="P140" i="23" s="1"/>
  <c r="S140" i="23" s="1"/>
  <c r="J97" i="23"/>
  <c r="P31" i="22"/>
  <c r="S31" i="22" s="1"/>
  <c r="P100" i="22"/>
  <c r="S100" i="22" s="1"/>
  <c r="P110" i="22"/>
  <c r="S110" i="22" s="1"/>
  <c r="P116" i="22"/>
  <c r="S116" i="22" s="1"/>
  <c r="N31" i="23"/>
  <c r="P31" i="23" s="1"/>
  <c r="S31" i="23" s="1"/>
  <c r="N20" i="23"/>
  <c r="P20" i="23" s="1"/>
  <c r="S20" i="23" s="1"/>
  <c r="N84" i="23"/>
  <c r="P84" i="23" s="1"/>
  <c r="S84" i="23" s="1"/>
  <c r="N96" i="23"/>
  <c r="P96" i="23" s="1"/>
  <c r="S96" i="23" s="1"/>
  <c r="N104" i="23"/>
  <c r="P104" i="23" s="1"/>
  <c r="S104" i="23" s="1"/>
  <c r="N15" i="23"/>
  <c r="P15" i="23" s="1"/>
  <c r="S15" i="23" s="1"/>
  <c r="J112" i="23"/>
  <c r="N37" i="23"/>
  <c r="P37" i="23" s="1"/>
  <c r="S37" i="23" s="1"/>
  <c r="N77" i="23"/>
  <c r="P77" i="23" s="1"/>
  <c r="S77" i="23" s="1"/>
  <c r="N102" i="23"/>
  <c r="P102" i="23" s="1"/>
  <c r="S102" i="23" s="1"/>
  <c r="N129" i="23"/>
  <c r="P129" i="23" s="1"/>
  <c r="S129" i="23" s="1"/>
  <c r="N133" i="23"/>
  <c r="P133" i="23" s="1"/>
  <c r="S133" i="23" s="1"/>
  <c r="N141" i="23"/>
  <c r="P141" i="23" s="1"/>
  <c r="S141" i="23" s="1"/>
  <c r="N142" i="23"/>
  <c r="P142" i="23" s="1"/>
  <c r="S142" i="23" s="1"/>
  <c r="J150" i="23"/>
  <c r="L38" i="23"/>
  <c r="J38" i="24" s="1"/>
  <c r="L38" i="24" s="1"/>
  <c r="L29" i="23"/>
  <c r="J29" i="24" s="1"/>
  <c r="L29" i="24" s="1"/>
  <c r="L105" i="23"/>
  <c r="J105" i="24" s="1"/>
  <c r="L105" i="24" s="1"/>
  <c r="L110" i="23"/>
  <c r="J110" i="24" s="1"/>
  <c r="L110" i="24" s="1"/>
  <c r="L133" i="23"/>
  <c r="J133" i="24" s="1"/>
  <c r="L133" i="24" s="1"/>
  <c r="L147" i="23"/>
  <c r="J147" i="24" s="1"/>
  <c r="L147" i="24" s="1"/>
  <c r="L149" i="23"/>
  <c r="J149" i="24" s="1"/>
  <c r="L149" i="24" s="1"/>
  <c r="L35" i="23"/>
  <c r="J35" i="24" s="1"/>
  <c r="L35" i="24" s="1"/>
  <c r="L102" i="23"/>
  <c r="J102" i="24" s="1"/>
  <c r="L102" i="24" s="1"/>
  <c r="L21" i="23"/>
  <c r="J21" i="24" s="1"/>
  <c r="L21" i="24" s="1"/>
  <c r="L44" i="23"/>
  <c r="J44" i="24" s="1"/>
  <c r="L44" i="24" s="1"/>
  <c r="L95" i="23"/>
  <c r="J95" i="24" s="1"/>
  <c r="L95" i="24" s="1"/>
  <c r="L109" i="23"/>
  <c r="J109" i="24" s="1"/>
  <c r="L109" i="24" s="1"/>
  <c r="L128" i="23"/>
  <c r="J128" i="24" s="1"/>
  <c r="L128" i="24" s="1"/>
  <c r="L136" i="23"/>
  <c r="J136" i="24" s="1"/>
  <c r="L136" i="24" s="1"/>
  <c r="L46" i="23"/>
  <c r="J46" i="24" s="1"/>
  <c r="L46" i="24" s="1"/>
  <c r="L115" i="23"/>
  <c r="J115" i="24" s="1"/>
  <c r="L115" i="24" s="1"/>
  <c r="L83" i="23"/>
  <c r="J83" i="24" s="1"/>
  <c r="L83" i="24" s="1"/>
  <c r="L126" i="23"/>
  <c r="J126" i="24" s="1"/>
  <c r="L126" i="24" s="1"/>
  <c r="J39" i="23"/>
  <c r="J119" i="23"/>
  <c r="N44" i="23"/>
  <c r="P44" i="23" s="1"/>
  <c r="S44" i="23" s="1"/>
  <c r="N101" i="23"/>
  <c r="P101" i="23" s="1"/>
  <c r="S101" i="23" s="1"/>
  <c r="N117" i="23"/>
  <c r="P117" i="23" s="1"/>
  <c r="S117" i="23" s="1"/>
  <c r="N135" i="23"/>
  <c r="P135" i="23" s="1"/>
  <c r="S135" i="23" s="1"/>
  <c r="N148" i="23"/>
  <c r="P148" i="23" s="1"/>
  <c r="S148" i="23" s="1"/>
  <c r="J143" i="23"/>
  <c r="J155" i="23"/>
  <c r="P149" i="22"/>
  <c r="S149" i="22" s="1"/>
  <c r="Q150" i="22"/>
  <c r="P134" i="22"/>
  <c r="S134" i="22" s="1"/>
  <c r="O130" i="22"/>
  <c r="P124" i="22"/>
  <c r="S124" i="22" s="1"/>
  <c r="P128" i="22"/>
  <c r="S128" i="22" s="1"/>
  <c r="O106" i="22"/>
  <c r="P102" i="22"/>
  <c r="S102" i="22" s="1"/>
  <c r="P43" i="22"/>
  <c r="S43" i="22" s="1"/>
  <c r="P54" i="22"/>
  <c r="S54" i="22" s="1"/>
  <c r="P47" i="22"/>
  <c r="S47" i="22" s="1"/>
  <c r="G85" i="22"/>
  <c r="K85" i="22"/>
  <c r="P90" i="22"/>
  <c r="S90" i="22" s="1"/>
  <c r="Q97" i="22"/>
  <c r="Q106" i="22"/>
  <c r="O112" i="22"/>
  <c r="O119" i="22"/>
  <c r="O155" i="22"/>
  <c r="I156" i="22"/>
  <c r="M85" i="22"/>
  <c r="Q39" i="22"/>
  <c r="O39" i="22"/>
  <c r="P30" i="22"/>
  <c r="S30" i="22" s="1"/>
  <c r="P38" i="22"/>
  <c r="S38" i="22" s="1"/>
  <c r="O80" i="22"/>
  <c r="P48" i="22"/>
  <c r="S48" i="22" s="1"/>
  <c r="Q112" i="22"/>
  <c r="P122" i="22"/>
  <c r="S122" i="22" s="1"/>
  <c r="P132" i="22"/>
  <c r="S132" i="22" s="1"/>
  <c r="O143" i="22"/>
  <c r="O150" i="22"/>
  <c r="P154" i="22"/>
  <c r="S154" i="22" s="1"/>
  <c r="I85" i="22"/>
  <c r="P33" i="22"/>
  <c r="S33" i="22" s="1"/>
  <c r="Q80" i="22"/>
  <c r="P46" i="22"/>
  <c r="S46" i="22" s="1"/>
  <c r="P51" i="22"/>
  <c r="S51" i="22" s="1"/>
  <c r="P56" i="22"/>
  <c r="S56" i="22" s="1"/>
  <c r="P61" i="22"/>
  <c r="S61" i="22" s="1"/>
  <c r="P65" i="22"/>
  <c r="S65" i="22" s="1"/>
  <c r="P70" i="22"/>
  <c r="S70" i="22" s="1"/>
  <c r="P74" i="22"/>
  <c r="S74" i="22" s="1"/>
  <c r="P78" i="22"/>
  <c r="S78" i="22" s="1"/>
  <c r="P93" i="22"/>
  <c r="S93" i="22" s="1"/>
  <c r="P109" i="22"/>
  <c r="S109" i="22" s="1"/>
  <c r="P121" i="22"/>
  <c r="S121" i="22" s="1"/>
  <c r="P129" i="22"/>
  <c r="S129" i="22" s="1"/>
  <c r="O137" i="22"/>
  <c r="P135" i="22"/>
  <c r="S135" i="22" s="1"/>
  <c r="P141" i="22"/>
  <c r="S141" i="22" s="1"/>
  <c r="P153" i="22"/>
  <c r="S153" i="22" s="1"/>
  <c r="K156" i="22"/>
  <c r="G156" i="22"/>
  <c r="M156" i="22"/>
  <c r="L155" i="23"/>
  <c r="L143" i="23"/>
  <c r="P94" i="22"/>
  <c r="S94" i="22" s="1"/>
  <c r="L74" i="24"/>
  <c r="N74" i="24"/>
  <c r="P74" i="24" s="1"/>
  <c r="S74" i="24" s="1"/>
  <c r="L58" i="24"/>
  <c r="N58" i="24"/>
  <c r="P58" i="24" s="1"/>
  <c r="S58" i="24" s="1"/>
  <c r="L60" i="24"/>
  <c r="N60" i="24"/>
  <c r="P60" i="24" s="1"/>
  <c r="S60" i="24" s="1"/>
  <c r="L67" i="24"/>
  <c r="N67" i="24"/>
  <c r="P67" i="24" s="1"/>
  <c r="S67" i="24" s="1"/>
  <c r="P60" i="22"/>
  <c r="S60" i="22" s="1"/>
  <c r="P64" i="22"/>
  <c r="S64" i="22" s="1"/>
  <c r="N73" i="24"/>
  <c r="P73" i="24" s="1"/>
  <c r="S73" i="24" s="1"/>
  <c r="L73" i="24"/>
  <c r="L72" i="24"/>
  <c r="N72" i="24"/>
  <c r="P72" i="24" s="1"/>
  <c r="S72" i="24" s="1"/>
  <c r="N63" i="24"/>
  <c r="P63" i="24" s="1"/>
  <c r="S63" i="24" s="1"/>
  <c r="L63" i="24"/>
  <c r="N71" i="24"/>
  <c r="P71" i="24" s="1"/>
  <c r="S71" i="24" s="1"/>
  <c r="L71" i="24"/>
  <c r="L70" i="24"/>
  <c r="N70" i="24"/>
  <c r="P70" i="24" s="1"/>
  <c r="S70" i="24" s="1"/>
  <c r="N59" i="24"/>
  <c r="P59" i="24" s="1"/>
  <c r="S59" i="24" s="1"/>
  <c r="L59" i="24"/>
  <c r="N61" i="24"/>
  <c r="P61" i="24" s="1"/>
  <c r="S61" i="24" s="1"/>
  <c r="L61" i="24"/>
  <c r="N69" i="24"/>
  <c r="P69" i="24" s="1"/>
  <c r="S69" i="24" s="1"/>
  <c r="L69" i="24"/>
  <c r="N68" i="24"/>
  <c r="P68" i="24" s="1"/>
  <c r="S68" i="24" s="1"/>
  <c r="L68" i="24"/>
  <c r="L75" i="24"/>
  <c r="N75" i="24"/>
  <c r="P75" i="24" s="1"/>
  <c r="S75" i="24" s="1"/>
  <c r="N65" i="24"/>
  <c r="P65" i="24" s="1"/>
  <c r="S65" i="24" s="1"/>
  <c r="L65" i="24"/>
  <c r="L64" i="24"/>
  <c r="N64" i="24"/>
  <c r="P64" i="24" s="1"/>
  <c r="S64" i="24" s="1"/>
  <c r="N62" i="24"/>
  <c r="P62" i="24" s="1"/>
  <c r="S62" i="24" s="1"/>
  <c r="L62" i="24"/>
  <c r="N54" i="24"/>
  <c r="P54" i="24" s="1"/>
  <c r="S54" i="24" s="1"/>
  <c r="L54" i="24"/>
  <c r="L55" i="24"/>
  <c r="N55" i="24"/>
  <c r="P55" i="24" s="1"/>
  <c r="S55" i="24" s="1"/>
  <c r="L53" i="24"/>
  <c r="N53" i="24"/>
  <c r="P53" i="24" s="1"/>
  <c r="S53" i="24" s="1"/>
  <c r="N56" i="24"/>
  <c r="P56" i="24" s="1"/>
  <c r="S56" i="24" s="1"/>
  <c r="L56" i="24"/>
  <c r="L50" i="24"/>
  <c r="N50" i="24"/>
  <c r="P50" i="24" s="1"/>
  <c r="S50" i="24" s="1"/>
  <c r="N51" i="24"/>
  <c r="P51" i="24" s="1"/>
  <c r="S51" i="24" s="1"/>
  <c r="L51" i="24"/>
  <c r="N47" i="24"/>
  <c r="P47" i="24" s="1"/>
  <c r="S47" i="24" s="1"/>
  <c r="L14" i="24"/>
  <c r="N14" i="24"/>
  <c r="P14" i="24" s="1"/>
  <c r="S14" i="24" s="1"/>
  <c r="N153" i="24"/>
  <c r="P153" i="24" s="1"/>
  <c r="S153" i="24" s="1"/>
  <c r="H155" i="23"/>
  <c r="N154" i="24"/>
  <c r="P154" i="24" s="1"/>
  <c r="S154" i="24" s="1"/>
  <c r="P152" i="23"/>
  <c r="S152" i="23" s="1"/>
  <c r="P147" i="22"/>
  <c r="S147" i="22" s="1"/>
  <c r="N146" i="24"/>
  <c r="P146" i="24" s="1"/>
  <c r="S146" i="24" s="1"/>
  <c r="N150" i="22"/>
  <c r="N148" i="24"/>
  <c r="P148" i="24" s="1"/>
  <c r="S148" i="24" s="1"/>
  <c r="P145" i="23"/>
  <c r="S145" i="23" s="1"/>
  <c r="H150" i="23"/>
  <c r="H143" i="23"/>
  <c r="N143" i="22"/>
  <c r="N140" i="24"/>
  <c r="P140" i="24" s="1"/>
  <c r="S140" i="24" s="1"/>
  <c r="N142" i="24"/>
  <c r="P142" i="24" s="1"/>
  <c r="S142" i="24" s="1"/>
  <c r="N141" i="24"/>
  <c r="P141" i="24" s="1"/>
  <c r="S141" i="24" s="1"/>
  <c r="P139" i="23"/>
  <c r="S139" i="23" s="1"/>
  <c r="N135" i="24"/>
  <c r="P135" i="24" s="1"/>
  <c r="S135" i="24" s="1"/>
  <c r="P132" i="23"/>
  <c r="S132" i="23" s="1"/>
  <c r="H137" i="23"/>
  <c r="P136" i="22"/>
  <c r="S136" i="22" s="1"/>
  <c r="N134" i="24"/>
  <c r="P134" i="24" s="1"/>
  <c r="S134" i="24" s="1"/>
  <c r="N125" i="24"/>
  <c r="P125" i="24" s="1"/>
  <c r="S125" i="24" s="1"/>
  <c r="N123" i="24"/>
  <c r="P123" i="24" s="1"/>
  <c r="S123" i="24" s="1"/>
  <c r="P125" i="22"/>
  <c r="S125" i="22" s="1"/>
  <c r="N129" i="24"/>
  <c r="P129" i="24" s="1"/>
  <c r="S129" i="24" s="1"/>
  <c r="P121" i="23"/>
  <c r="S121" i="23" s="1"/>
  <c r="N122" i="24"/>
  <c r="P122" i="24" s="1"/>
  <c r="S122" i="24" s="1"/>
  <c r="N124" i="24"/>
  <c r="P124" i="24" s="1"/>
  <c r="S124" i="24" s="1"/>
  <c r="H119" i="23"/>
  <c r="N117" i="24"/>
  <c r="P117" i="24" s="1"/>
  <c r="S117" i="24" s="1"/>
  <c r="P114" i="23"/>
  <c r="S114" i="23" s="1"/>
  <c r="N118" i="24"/>
  <c r="P118" i="24" s="1"/>
  <c r="S118" i="24" s="1"/>
  <c r="N116" i="24"/>
  <c r="P116" i="24" s="1"/>
  <c r="S116" i="24" s="1"/>
  <c r="H112" i="23"/>
  <c r="P108" i="23"/>
  <c r="S108" i="23" s="1"/>
  <c r="P111" i="22"/>
  <c r="S111" i="22" s="1"/>
  <c r="N111" i="24"/>
  <c r="P111" i="24" s="1"/>
  <c r="S111" i="24" s="1"/>
  <c r="P99" i="23"/>
  <c r="S99" i="23" s="1"/>
  <c r="N104" i="24"/>
  <c r="P104" i="24" s="1"/>
  <c r="S104" i="24" s="1"/>
  <c r="N103" i="24"/>
  <c r="P103" i="24" s="1"/>
  <c r="S103" i="24" s="1"/>
  <c r="P103" i="22"/>
  <c r="S103" i="22" s="1"/>
  <c r="H106" i="23"/>
  <c r="N101" i="24"/>
  <c r="P101" i="24" s="1"/>
  <c r="S101" i="24" s="1"/>
  <c r="N100" i="24"/>
  <c r="P100" i="24" s="1"/>
  <c r="S100" i="24" s="1"/>
  <c r="N93" i="24"/>
  <c r="P93" i="24" s="1"/>
  <c r="S93" i="24" s="1"/>
  <c r="N96" i="24"/>
  <c r="P96" i="24" s="1"/>
  <c r="S96" i="24" s="1"/>
  <c r="P89" i="23"/>
  <c r="S89" i="23" s="1"/>
  <c r="N94" i="24"/>
  <c r="P94" i="24" s="1"/>
  <c r="S94" i="24" s="1"/>
  <c r="H97" i="23"/>
  <c r="N91" i="24"/>
  <c r="P91" i="24" s="1"/>
  <c r="S91" i="24" s="1"/>
  <c r="N90" i="24"/>
  <c r="P90" i="24" s="1"/>
  <c r="S90" i="24" s="1"/>
  <c r="N92" i="24"/>
  <c r="P92" i="24" s="1"/>
  <c r="S92" i="24" s="1"/>
  <c r="N84" i="24"/>
  <c r="P84" i="24" s="1"/>
  <c r="S84" i="24" s="1"/>
  <c r="N76" i="24"/>
  <c r="P76" i="24" s="1"/>
  <c r="S76" i="24" s="1"/>
  <c r="N78" i="24"/>
  <c r="P78" i="24" s="1"/>
  <c r="S78" i="24" s="1"/>
  <c r="N79" i="24"/>
  <c r="P79" i="24" s="1"/>
  <c r="S79" i="24" s="1"/>
  <c r="N77" i="24"/>
  <c r="P77" i="24" s="1"/>
  <c r="S77" i="24" s="1"/>
  <c r="H80" i="23"/>
  <c r="P43" i="23"/>
  <c r="S43" i="23" s="1"/>
  <c r="N37" i="24"/>
  <c r="P37" i="24" s="1"/>
  <c r="S37" i="24" s="1"/>
  <c r="N32" i="24"/>
  <c r="P32" i="24" s="1"/>
  <c r="S32" i="24" s="1"/>
  <c r="N31" i="24"/>
  <c r="P31" i="24" s="1"/>
  <c r="S31" i="24" s="1"/>
  <c r="N36" i="24"/>
  <c r="P36" i="24" s="1"/>
  <c r="S36" i="24" s="1"/>
  <c r="N30" i="24"/>
  <c r="P30" i="24" s="1"/>
  <c r="S30" i="24" s="1"/>
  <c r="N33" i="24"/>
  <c r="P33" i="24" s="1"/>
  <c r="S33" i="24" s="1"/>
  <c r="N27" i="24"/>
  <c r="P27" i="24" s="1"/>
  <c r="S27" i="24" s="1"/>
  <c r="P26" i="23"/>
  <c r="S26" i="23" s="1"/>
  <c r="P26" i="22"/>
  <c r="S26" i="22" s="1"/>
  <c r="N15" i="24"/>
  <c r="P15" i="24" s="1"/>
  <c r="S15" i="24" s="1"/>
  <c r="N20" i="24"/>
  <c r="P20" i="24" s="1"/>
  <c r="S20" i="24" s="1"/>
  <c r="N17" i="24"/>
  <c r="P17" i="24" s="1"/>
  <c r="S17" i="24" s="1"/>
  <c r="N16" i="24"/>
  <c r="P16" i="24" s="1"/>
  <c r="S16" i="24" s="1"/>
  <c r="N19" i="24"/>
  <c r="P19" i="24" s="1"/>
  <c r="S19" i="24" s="1"/>
  <c r="N18" i="24"/>
  <c r="P18" i="24" s="1"/>
  <c r="S18" i="24" s="1"/>
  <c r="P58" i="22"/>
  <c r="S58" i="22" s="1"/>
  <c r="P62" i="22"/>
  <c r="S62" i="22" s="1"/>
  <c r="P67" i="22"/>
  <c r="S67" i="22" s="1"/>
  <c r="P71" i="22"/>
  <c r="S71" i="22" s="1"/>
  <c r="P75" i="22"/>
  <c r="S75" i="22" s="1"/>
  <c r="P79" i="22"/>
  <c r="S79" i="22" s="1"/>
  <c r="P114" i="22"/>
  <c r="S114" i="22" s="1"/>
  <c r="P29" i="22"/>
  <c r="S29" i="22" s="1"/>
  <c r="P37" i="22"/>
  <c r="S37" i="22" s="1"/>
  <c r="P53" i="22"/>
  <c r="S53" i="22" s="1"/>
  <c r="N80" i="22"/>
  <c r="N106" i="22"/>
  <c r="P145" i="22"/>
  <c r="S145" i="22" s="1"/>
  <c r="Q137" i="22"/>
  <c r="Q155" i="22"/>
  <c r="Q130" i="22"/>
  <c r="P35" i="22"/>
  <c r="S35" i="22" s="1"/>
  <c r="P50" i="22"/>
  <c r="S50" i="22" s="1"/>
  <c r="P59" i="22"/>
  <c r="S59" i="22" s="1"/>
  <c r="P63" i="22"/>
  <c r="S63" i="22" s="1"/>
  <c r="P68" i="22"/>
  <c r="S68" i="22" s="1"/>
  <c r="P69" i="22"/>
  <c r="S69" i="22" s="1"/>
  <c r="P72" i="22"/>
  <c r="S72" i="22" s="1"/>
  <c r="P73" i="22"/>
  <c r="S73" i="22" s="1"/>
  <c r="P76" i="22"/>
  <c r="S76" i="22" s="1"/>
  <c r="P77" i="22"/>
  <c r="S77" i="22" s="1"/>
  <c r="P83" i="22"/>
  <c r="S83" i="22" s="1"/>
  <c r="P89" i="22"/>
  <c r="S89" i="22" s="1"/>
  <c r="O97" i="22"/>
  <c r="P95" i="22"/>
  <c r="S95" i="22" s="1"/>
  <c r="P104" i="22"/>
  <c r="S104" i="22" s="1"/>
  <c r="P115" i="22"/>
  <c r="S115" i="22" s="1"/>
  <c r="P126" i="22"/>
  <c r="S126" i="22" s="1"/>
  <c r="P139" i="22"/>
  <c r="S139" i="22" s="1"/>
  <c r="P148" i="22"/>
  <c r="S148" i="22" s="1"/>
  <c r="Q119" i="22"/>
  <c r="Q143" i="22"/>
  <c r="P99" i="22"/>
  <c r="S99" i="22" s="1"/>
  <c r="N119" i="22"/>
  <c r="N155" i="22"/>
  <c r="P142" i="22"/>
  <c r="S142" i="22" s="1"/>
  <c r="N137" i="22"/>
  <c r="N112" i="22"/>
  <c r="N97" i="22"/>
  <c r="K154" i="1"/>
  <c r="J154" i="1"/>
  <c r="K153" i="1"/>
  <c r="J153" i="1"/>
  <c r="K152" i="1"/>
  <c r="J152" i="1"/>
  <c r="K149" i="1"/>
  <c r="J149" i="1"/>
  <c r="K148" i="1"/>
  <c r="J148" i="1"/>
  <c r="K147" i="1"/>
  <c r="J147" i="1"/>
  <c r="K146" i="1"/>
  <c r="J146" i="1"/>
  <c r="K145" i="1"/>
  <c r="J145" i="1"/>
  <c r="K142" i="1"/>
  <c r="J142" i="1"/>
  <c r="K141" i="1"/>
  <c r="J141" i="1"/>
  <c r="K140" i="1"/>
  <c r="J140" i="1"/>
  <c r="K139" i="1"/>
  <c r="J139" i="1"/>
  <c r="K136" i="1"/>
  <c r="J136" i="1"/>
  <c r="K135" i="1"/>
  <c r="J135" i="1"/>
  <c r="K134" i="1"/>
  <c r="J134" i="1"/>
  <c r="K133" i="1"/>
  <c r="J133" i="1"/>
  <c r="K132" i="1"/>
  <c r="J132" i="1"/>
  <c r="K129" i="1"/>
  <c r="J129" i="1"/>
  <c r="K128" i="1"/>
  <c r="J128" i="1"/>
  <c r="J127" i="1"/>
  <c r="K126" i="1"/>
  <c r="J126" i="1"/>
  <c r="K125" i="1"/>
  <c r="J125" i="1"/>
  <c r="K124" i="1"/>
  <c r="J124" i="1"/>
  <c r="K123" i="1"/>
  <c r="J123" i="1"/>
  <c r="K122" i="1"/>
  <c r="J122" i="1"/>
  <c r="K121" i="1"/>
  <c r="J121" i="1"/>
  <c r="K118" i="1"/>
  <c r="J118" i="1"/>
  <c r="K117" i="1"/>
  <c r="J117" i="1"/>
  <c r="K116" i="1"/>
  <c r="J116" i="1"/>
  <c r="K115" i="1"/>
  <c r="J115" i="1"/>
  <c r="K114" i="1"/>
  <c r="J114" i="1"/>
  <c r="K111" i="1"/>
  <c r="J111" i="1"/>
  <c r="K110" i="1"/>
  <c r="J110" i="1"/>
  <c r="K109" i="1"/>
  <c r="J109" i="1"/>
  <c r="K108" i="1"/>
  <c r="J108" i="1"/>
  <c r="K105" i="1"/>
  <c r="J105" i="1"/>
  <c r="K104" i="1"/>
  <c r="J104" i="1"/>
  <c r="K103" i="1"/>
  <c r="J103" i="1"/>
  <c r="K102" i="1"/>
  <c r="J102" i="1"/>
  <c r="K101" i="1"/>
  <c r="J101" i="1"/>
  <c r="K100" i="1"/>
  <c r="J100" i="1"/>
  <c r="K99" i="1"/>
  <c r="J99" i="1"/>
  <c r="K96" i="1"/>
  <c r="J96" i="1"/>
  <c r="K95" i="1"/>
  <c r="J95" i="1"/>
  <c r="K94" i="1"/>
  <c r="J94" i="1"/>
  <c r="K93" i="1"/>
  <c r="J93" i="1"/>
  <c r="K92" i="1"/>
  <c r="J92" i="1"/>
  <c r="K91" i="1"/>
  <c r="J91" i="1"/>
  <c r="K90" i="1"/>
  <c r="J90" i="1"/>
  <c r="K89" i="1"/>
  <c r="J89" i="1"/>
  <c r="K84" i="1"/>
  <c r="J84" i="1"/>
  <c r="K83" i="1"/>
  <c r="J83" i="1"/>
  <c r="K79" i="1"/>
  <c r="J79" i="1"/>
  <c r="K78" i="1"/>
  <c r="J78" i="1"/>
  <c r="K77" i="1"/>
  <c r="J77" i="1"/>
  <c r="K76" i="1"/>
  <c r="J76" i="1"/>
  <c r="K75" i="1"/>
  <c r="J75" i="1"/>
  <c r="K74" i="1"/>
  <c r="J74" i="1"/>
  <c r="K73" i="1"/>
  <c r="J73" i="1"/>
  <c r="K72" i="1"/>
  <c r="J72" i="1"/>
  <c r="K70" i="1"/>
  <c r="J70" i="1"/>
  <c r="K69" i="1"/>
  <c r="J69" i="1"/>
  <c r="K68" i="1"/>
  <c r="J68" i="1"/>
  <c r="K67" i="1"/>
  <c r="J67" i="1"/>
  <c r="K66" i="1"/>
  <c r="J66" i="1"/>
  <c r="K65" i="1"/>
  <c r="J65" i="1"/>
  <c r="K64" i="1"/>
  <c r="J64" i="1"/>
  <c r="K63" i="1"/>
  <c r="J63" i="1"/>
  <c r="K62" i="1"/>
  <c r="J62" i="1"/>
  <c r="K61" i="1"/>
  <c r="J61" i="1"/>
  <c r="K60" i="1"/>
  <c r="J60" i="1"/>
  <c r="K59" i="1"/>
  <c r="J59" i="1"/>
  <c r="K58" i="1"/>
  <c r="J58" i="1"/>
  <c r="K56" i="1"/>
  <c r="J56" i="1"/>
  <c r="K55" i="1"/>
  <c r="J55" i="1"/>
  <c r="K54" i="1"/>
  <c r="J54" i="1"/>
  <c r="K53" i="1"/>
  <c r="J53" i="1"/>
  <c r="K51" i="1"/>
  <c r="J51" i="1"/>
  <c r="K50" i="1"/>
  <c r="J50" i="1"/>
  <c r="K48" i="1"/>
  <c r="J48" i="1"/>
  <c r="K47" i="1"/>
  <c r="J47" i="1"/>
  <c r="K46" i="1"/>
  <c r="J46" i="1"/>
  <c r="K44" i="1"/>
  <c r="J44" i="1"/>
  <c r="K43" i="1"/>
  <c r="J43" i="1"/>
  <c r="K38" i="1"/>
  <c r="J38" i="1"/>
  <c r="K37" i="1"/>
  <c r="J37" i="1"/>
  <c r="K36" i="1"/>
  <c r="J36" i="1"/>
  <c r="K35" i="1"/>
  <c r="J35" i="1"/>
  <c r="J34" i="1"/>
  <c r="K33" i="1"/>
  <c r="J33" i="1"/>
  <c r="K32" i="1"/>
  <c r="J32" i="1"/>
  <c r="K31" i="1"/>
  <c r="J31" i="1"/>
  <c r="K30" i="1"/>
  <c r="J30" i="1"/>
  <c r="K29" i="1"/>
  <c r="J29" i="1"/>
  <c r="K27" i="1"/>
  <c r="J27" i="1"/>
  <c r="K26" i="1"/>
  <c r="J26" i="1"/>
  <c r="K21" i="1"/>
  <c r="J21" i="1"/>
  <c r="K20" i="1"/>
  <c r="J20" i="1"/>
  <c r="K19" i="1"/>
  <c r="J19" i="1"/>
  <c r="K18" i="1"/>
  <c r="J18" i="1"/>
  <c r="K17" i="1"/>
  <c r="J17" i="1"/>
  <c r="K16" i="1"/>
  <c r="J16" i="1"/>
  <c r="K15" i="1"/>
  <c r="J15" i="1"/>
  <c r="K14" i="1"/>
  <c r="J14" i="1"/>
  <c r="M38" i="1" l="1"/>
  <c r="M66" i="1"/>
  <c r="N112" i="23"/>
  <c r="N155" i="23"/>
  <c r="M79" i="1"/>
  <c r="M17" i="1"/>
  <c r="M21" i="1"/>
  <c r="M30" i="1"/>
  <c r="M47" i="1"/>
  <c r="M53" i="1"/>
  <c r="M58" i="1"/>
  <c r="M62" i="1"/>
  <c r="M110" i="1"/>
  <c r="M116" i="1"/>
  <c r="M122" i="1"/>
  <c r="M126" i="1"/>
  <c r="M142" i="1"/>
  <c r="M148" i="1"/>
  <c r="M154" i="1"/>
  <c r="M70" i="1"/>
  <c r="M75" i="1"/>
  <c r="M132" i="1"/>
  <c r="M136" i="1"/>
  <c r="M100" i="1"/>
  <c r="M104" i="1"/>
  <c r="M90" i="1"/>
  <c r="M94" i="1"/>
  <c r="M16" i="1"/>
  <c r="M20" i="1"/>
  <c r="M29" i="1"/>
  <c r="M33" i="1"/>
  <c r="M37" i="1"/>
  <c r="M46" i="1"/>
  <c r="M51" i="1"/>
  <c r="M56" i="1"/>
  <c r="M61" i="1"/>
  <c r="M65" i="1"/>
  <c r="M69" i="1"/>
  <c r="M74" i="1"/>
  <c r="M78" i="1"/>
  <c r="M89" i="1"/>
  <c r="M93" i="1"/>
  <c r="M99" i="1"/>
  <c r="M103" i="1"/>
  <c r="M109" i="1"/>
  <c r="M115" i="1"/>
  <c r="M121" i="1"/>
  <c r="M125" i="1"/>
  <c r="M129" i="1"/>
  <c r="M135" i="1"/>
  <c r="M141" i="1"/>
  <c r="M147" i="1"/>
  <c r="M153" i="1"/>
  <c r="N35" i="24"/>
  <c r="P35" i="24" s="1"/>
  <c r="S35" i="24" s="1"/>
  <c r="M14" i="1"/>
  <c r="M18" i="1"/>
  <c r="M26" i="1"/>
  <c r="M31" i="1"/>
  <c r="M35" i="1"/>
  <c r="M43" i="1"/>
  <c r="M48" i="1"/>
  <c r="M54" i="1"/>
  <c r="M59" i="1"/>
  <c r="M63" i="1"/>
  <c r="M67" i="1"/>
  <c r="M72" i="1"/>
  <c r="M76" i="1"/>
  <c r="M83" i="1"/>
  <c r="M91" i="1"/>
  <c r="M95" i="1"/>
  <c r="M101" i="1"/>
  <c r="M105" i="1"/>
  <c r="M111" i="1"/>
  <c r="M117" i="1"/>
  <c r="M123" i="1"/>
  <c r="M133" i="1"/>
  <c r="M139" i="1"/>
  <c r="M145" i="1"/>
  <c r="M149" i="1"/>
  <c r="M15" i="1"/>
  <c r="M19" i="1"/>
  <c r="M27" i="1"/>
  <c r="M32" i="1"/>
  <c r="M36" i="1"/>
  <c r="M44" i="1"/>
  <c r="M50" i="1"/>
  <c r="M55" i="1"/>
  <c r="M60" i="1"/>
  <c r="M64" i="1"/>
  <c r="M68" i="1"/>
  <c r="M73" i="1"/>
  <c r="M77" i="1"/>
  <c r="M84" i="1"/>
  <c r="M92" i="1"/>
  <c r="M96" i="1"/>
  <c r="M102" i="1"/>
  <c r="M108" i="1"/>
  <c r="M114" i="1"/>
  <c r="M118" i="1"/>
  <c r="M124" i="1"/>
  <c r="M128" i="1"/>
  <c r="M134" i="1"/>
  <c r="M140" i="1"/>
  <c r="M146" i="1"/>
  <c r="M152" i="1"/>
  <c r="N137" i="23"/>
  <c r="N115" i="24"/>
  <c r="P115" i="24" s="1"/>
  <c r="S115" i="24" s="1"/>
  <c r="N149" i="24"/>
  <c r="P149" i="24" s="1"/>
  <c r="S149" i="24" s="1"/>
  <c r="K158" i="22"/>
  <c r="N102" i="24"/>
  <c r="P102" i="24" s="1"/>
  <c r="S102" i="24" s="1"/>
  <c r="N133" i="24"/>
  <c r="P133" i="24" s="1"/>
  <c r="S133" i="24" s="1"/>
  <c r="L112" i="23"/>
  <c r="N38" i="24"/>
  <c r="P38" i="24" s="1"/>
  <c r="S38" i="24" s="1"/>
  <c r="L119" i="23"/>
  <c r="N109" i="24"/>
  <c r="P109" i="24" s="1"/>
  <c r="S109" i="24" s="1"/>
  <c r="N136" i="24"/>
  <c r="P136" i="24" s="1"/>
  <c r="S136" i="24" s="1"/>
  <c r="N147" i="24"/>
  <c r="P147" i="24" s="1"/>
  <c r="S147" i="24" s="1"/>
  <c r="N128" i="24"/>
  <c r="P128" i="24" s="1"/>
  <c r="S128" i="24" s="1"/>
  <c r="M158" i="22"/>
  <c r="N29" i="24"/>
  <c r="P29" i="24" s="1"/>
  <c r="S29" i="24" s="1"/>
  <c r="N83" i="24"/>
  <c r="P83" i="24" s="1"/>
  <c r="S83" i="24" s="1"/>
  <c r="N150" i="23"/>
  <c r="N21" i="24"/>
  <c r="P21" i="24" s="1"/>
  <c r="S21" i="24" s="1"/>
  <c r="N80" i="23"/>
  <c r="L97" i="23"/>
  <c r="N97" i="23"/>
  <c r="N126" i="24"/>
  <c r="P126" i="24" s="1"/>
  <c r="S126" i="24" s="1"/>
  <c r="N95" i="24"/>
  <c r="P95" i="24" s="1"/>
  <c r="S95" i="24" s="1"/>
  <c r="N106" i="23"/>
  <c r="N110" i="24"/>
  <c r="P110" i="24" s="1"/>
  <c r="S110" i="24" s="1"/>
  <c r="N143" i="23"/>
  <c r="L80" i="23"/>
  <c r="L106" i="23"/>
  <c r="L150" i="23"/>
  <c r="N46" i="24"/>
  <c r="P46" i="24" s="1"/>
  <c r="S46" i="24" s="1"/>
  <c r="N119" i="23"/>
  <c r="L39" i="23"/>
  <c r="N44" i="24"/>
  <c r="P44" i="24" s="1"/>
  <c r="S44" i="24" s="1"/>
  <c r="N105" i="24"/>
  <c r="P105" i="24" s="1"/>
  <c r="S105" i="24" s="1"/>
  <c r="L137" i="23"/>
  <c r="I158" i="22"/>
  <c r="G158" i="22"/>
  <c r="P155" i="22"/>
  <c r="S155" i="22" s="1"/>
  <c r="Q156" i="22"/>
  <c r="O156" i="22"/>
  <c r="P137" i="23"/>
  <c r="S137" i="23" s="1"/>
  <c r="P112" i="22"/>
  <c r="S112" i="22" s="1"/>
  <c r="J155" i="24"/>
  <c r="L152" i="24"/>
  <c r="L155" i="24" s="1"/>
  <c r="J150" i="24"/>
  <c r="L145" i="24"/>
  <c r="L150" i="24" s="1"/>
  <c r="L139" i="24"/>
  <c r="L143" i="24" s="1"/>
  <c r="J143" i="24"/>
  <c r="P137" i="22"/>
  <c r="S137" i="22" s="1"/>
  <c r="L132" i="24"/>
  <c r="L137" i="24" s="1"/>
  <c r="J137" i="24"/>
  <c r="L121" i="24"/>
  <c r="P119" i="22"/>
  <c r="S119" i="22" s="1"/>
  <c r="L114" i="24"/>
  <c r="L119" i="24" s="1"/>
  <c r="J119" i="24"/>
  <c r="L108" i="24"/>
  <c r="L112" i="24" s="1"/>
  <c r="J112" i="24"/>
  <c r="J106" i="24"/>
  <c r="L99" i="24"/>
  <c r="L106" i="24" s="1"/>
  <c r="L89" i="24"/>
  <c r="L97" i="24" s="1"/>
  <c r="J97" i="24"/>
  <c r="P97" i="22"/>
  <c r="S97" i="22" s="1"/>
  <c r="L80" i="24"/>
  <c r="J80" i="24"/>
  <c r="J39" i="24"/>
  <c r="L39" i="24"/>
  <c r="P155" i="23"/>
  <c r="S155" i="23" s="1"/>
  <c r="N152" i="24"/>
  <c r="H155" i="24"/>
  <c r="F155" i="24"/>
  <c r="P150" i="23"/>
  <c r="S150" i="23" s="1"/>
  <c r="P150" i="22"/>
  <c r="S150" i="22" s="1"/>
  <c r="F150" i="24"/>
  <c r="N145" i="24"/>
  <c r="H150" i="24"/>
  <c r="P143" i="23"/>
  <c r="S143" i="23" s="1"/>
  <c r="N139" i="24"/>
  <c r="F143" i="24"/>
  <c r="H143" i="24"/>
  <c r="N132" i="24"/>
  <c r="F137" i="24"/>
  <c r="H137" i="24"/>
  <c r="N121" i="24"/>
  <c r="P119" i="23"/>
  <c r="S119" i="23" s="1"/>
  <c r="F119" i="24"/>
  <c r="N114" i="24"/>
  <c r="H119" i="24"/>
  <c r="P112" i="23"/>
  <c r="S112" i="23" s="1"/>
  <c r="F112" i="24"/>
  <c r="H112" i="24"/>
  <c r="N108" i="24"/>
  <c r="P106" i="23"/>
  <c r="S106" i="23" s="1"/>
  <c r="P106" i="22"/>
  <c r="S106" i="22" s="1"/>
  <c r="N99" i="24"/>
  <c r="F106" i="24"/>
  <c r="H106" i="24"/>
  <c r="F97" i="24"/>
  <c r="H97" i="24"/>
  <c r="N89" i="24"/>
  <c r="P97" i="23"/>
  <c r="S97" i="23" s="1"/>
  <c r="P80" i="22"/>
  <c r="S80" i="22" s="1"/>
  <c r="P80" i="23"/>
  <c r="S80" i="23" s="1"/>
  <c r="N43" i="24"/>
  <c r="F80" i="24"/>
  <c r="H80" i="24"/>
  <c r="N26" i="24"/>
  <c r="P143" i="22"/>
  <c r="S143" i="22" s="1"/>
  <c r="N155" i="24" l="1"/>
  <c r="P152" i="24"/>
  <c r="S152" i="24" s="1"/>
  <c r="N150" i="24"/>
  <c r="P145" i="24"/>
  <c r="S145" i="24" s="1"/>
  <c r="N143" i="24"/>
  <c r="P139" i="24"/>
  <c r="S139" i="24" s="1"/>
  <c r="N137" i="24"/>
  <c r="P132" i="24"/>
  <c r="S132" i="24" s="1"/>
  <c r="P121" i="24"/>
  <c r="S121" i="24" s="1"/>
  <c r="N119" i="24"/>
  <c r="P114" i="24"/>
  <c r="S114" i="24" s="1"/>
  <c r="N112" i="24"/>
  <c r="P108" i="24"/>
  <c r="S108" i="24" s="1"/>
  <c r="N106" i="24"/>
  <c r="P99" i="24"/>
  <c r="S99" i="24" s="1"/>
  <c r="N97" i="24"/>
  <c r="P89" i="24"/>
  <c r="S89" i="24" s="1"/>
  <c r="P43" i="24"/>
  <c r="S43" i="24" s="1"/>
  <c r="N80" i="24"/>
  <c r="P26" i="24"/>
  <c r="S26" i="24" s="1"/>
  <c r="Q21" i="22"/>
  <c r="Q20" i="22"/>
  <c r="Q19" i="22"/>
  <c r="Q18" i="22"/>
  <c r="Q17" i="22"/>
  <c r="Q16" i="22"/>
  <c r="Q15" i="22"/>
  <c r="Q14" i="22"/>
  <c r="O21" i="22"/>
  <c r="O20" i="22"/>
  <c r="O19" i="22"/>
  <c r="O18" i="22"/>
  <c r="O17" i="22"/>
  <c r="O16" i="22"/>
  <c r="O15" i="22"/>
  <c r="O14" i="22"/>
  <c r="N21" i="22"/>
  <c r="P21" i="22" s="1"/>
  <c r="N20" i="22"/>
  <c r="P20" i="22" s="1"/>
  <c r="N19" i="22"/>
  <c r="P19" i="22" s="1"/>
  <c r="N18" i="22"/>
  <c r="P18" i="22" s="1"/>
  <c r="N17" i="22"/>
  <c r="P17" i="22" s="1"/>
  <c r="N16" i="22"/>
  <c r="P16" i="22" s="1"/>
  <c r="N15" i="22"/>
  <c r="P15" i="22" s="1"/>
  <c r="N14" i="22"/>
  <c r="P14" i="22" s="1"/>
  <c r="Q13" i="22"/>
  <c r="O13" i="22"/>
  <c r="J13" i="22"/>
  <c r="J22" i="22" s="1"/>
  <c r="J85" i="22" s="1"/>
  <c r="F13" i="22"/>
  <c r="H13" i="22" s="1"/>
  <c r="F155" i="22"/>
  <c r="F150" i="22"/>
  <c r="F143" i="22"/>
  <c r="F137" i="22"/>
  <c r="F119" i="22"/>
  <c r="F112" i="22"/>
  <c r="F106" i="22"/>
  <c r="F97" i="22"/>
  <c r="F80" i="22"/>
  <c r="S21" i="22" l="1"/>
  <c r="S16" i="22"/>
  <c r="S17" i="22"/>
  <c r="S15" i="22"/>
  <c r="S18" i="22"/>
  <c r="S14" i="22"/>
  <c r="S19" i="22"/>
  <c r="S20" i="22"/>
  <c r="O22" i="22"/>
  <c r="O85" i="22" s="1"/>
  <c r="O158" i="22" s="1"/>
  <c r="P155" i="24"/>
  <c r="S155" i="24" s="1"/>
  <c r="P150" i="24"/>
  <c r="S150" i="24" s="1"/>
  <c r="P143" i="24"/>
  <c r="S143" i="24" s="1"/>
  <c r="P137" i="24"/>
  <c r="S137" i="24" s="1"/>
  <c r="P119" i="24"/>
  <c r="S119" i="24" s="1"/>
  <c r="P112" i="24"/>
  <c r="S112" i="24" s="1"/>
  <c r="P106" i="24"/>
  <c r="S106" i="24" s="1"/>
  <c r="P97" i="24"/>
  <c r="S97" i="24" s="1"/>
  <c r="P80" i="24"/>
  <c r="S80" i="24" s="1"/>
  <c r="Q22" i="22"/>
  <c r="H22" i="22"/>
  <c r="F13" i="23"/>
  <c r="F22" i="22"/>
  <c r="L13" i="22"/>
  <c r="N13" i="22"/>
  <c r="N22" i="22" s="1"/>
  <c r="Q85" i="22" l="1"/>
  <c r="L22" i="22"/>
  <c r="L85" i="22" s="1"/>
  <c r="J13" i="23"/>
  <c r="N13" i="23" s="1"/>
  <c r="F22" i="23"/>
  <c r="H13" i="23"/>
  <c r="P13" i="22"/>
  <c r="S13" i="22" s="1"/>
  <c r="Q158" i="22" l="1"/>
  <c r="J22" i="23"/>
  <c r="J85" i="23" s="1"/>
  <c r="L13" i="23"/>
  <c r="P13" i="23"/>
  <c r="S13" i="23" s="1"/>
  <c r="N22" i="23"/>
  <c r="H22" i="23"/>
  <c r="F13" i="24"/>
  <c r="P22" i="22"/>
  <c r="S22" i="22" s="1"/>
  <c r="F22" i="24" l="1"/>
  <c r="H13" i="24"/>
  <c r="H22" i="24" s="1"/>
  <c r="L22" i="23"/>
  <c r="L85" i="23" s="1"/>
  <c r="J13" i="24"/>
  <c r="N13" i="24" s="1"/>
  <c r="P22" i="23"/>
  <c r="S22" i="23" s="1"/>
  <c r="N22" i="24" l="1"/>
  <c r="P13" i="24"/>
  <c r="S13" i="24" s="1"/>
  <c r="L13" i="24"/>
  <c r="L22" i="24" s="1"/>
  <c r="L85" i="24" s="1"/>
  <c r="J22" i="24"/>
  <c r="J85" i="24" s="1"/>
  <c r="P22" i="24" l="1"/>
  <c r="S22" i="24" s="1"/>
  <c r="I155" i="1" l="1"/>
  <c r="H155" i="1"/>
  <c r="G155" i="1"/>
  <c r="J159" i="1"/>
  <c r="I97" i="1"/>
  <c r="H97" i="1"/>
  <c r="G97" i="1"/>
  <c r="F97" i="1"/>
  <c r="H137" i="1"/>
  <c r="G137" i="1"/>
  <c r="F137" i="1"/>
  <c r="H150" i="1"/>
  <c r="J150" i="1" s="1"/>
  <c r="G150" i="1"/>
  <c r="J13" i="1"/>
  <c r="F22" i="1"/>
  <c r="G22" i="1"/>
  <c r="G106" i="1"/>
  <c r="G112" i="1"/>
  <c r="I39" i="1"/>
  <c r="F39" i="1"/>
  <c r="F106" i="1"/>
  <c r="F112" i="1"/>
  <c r="H39" i="1"/>
  <c r="I106" i="1"/>
  <c r="G143" i="1"/>
  <c r="G119" i="1"/>
  <c r="I22" i="1"/>
  <c r="I80" i="1"/>
  <c r="G80" i="1"/>
  <c r="K13" i="1"/>
  <c r="F130" i="1"/>
  <c r="F119" i="1"/>
  <c r="H143" i="1"/>
  <c r="J143" i="1" s="1"/>
  <c r="H130" i="1"/>
  <c r="H119" i="1"/>
  <c r="H112" i="1"/>
  <c r="H106" i="1"/>
  <c r="H22" i="1"/>
  <c r="H80" i="1"/>
  <c r="F80" i="1"/>
  <c r="M13" i="1" l="1"/>
  <c r="J112" i="1"/>
  <c r="K97" i="1"/>
  <c r="J22" i="1"/>
  <c r="K112" i="1"/>
  <c r="F156" i="1"/>
  <c r="J130" i="1"/>
  <c r="J39" i="1"/>
  <c r="J137" i="1"/>
  <c r="H156" i="1"/>
  <c r="J106" i="1"/>
  <c r="K106" i="1"/>
  <c r="K119" i="1"/>
  <c r="J80" i="1"/>
  <c r="J119" i="1"/>
  <c r="K80" i="1"/>
  <c r="K150" i="1"/>
  <c r="M150" i="1" s="1"/>
  <c r="K137" i="1"/>
  <c r="J155" i="1"/>
  <c r="K22" i="1"/>
  <c r="K143" i="1"/>
  <c r="M143" i="1" s="1"/>
  <c r="K155" i="1"/>
  <c r="J97" i="1"/>
  <c r="F85" i="1"/>
  <c r="H85" i="1"/>
  <c r="I85" i="1"/>
  <c r="AG40" i="32" s="1"/>
  <c r="AG41" i="32" s="1"/>
  <c r="M155" i="1" l="1"/>
  <c r="M97" i="1"/>
  <c r="M119" i="1"/>
  <c r="J156" i="1"/>
  <c r="Z151" i="31" s="1"/>
  <c r="M22" i="1"/>
  <c r="M112" i="1"/>
  <c r="M106" i="1"/>
  <c r="M137" i="1"/>
  <c r="M80" i="1"/>
  <c r="J85" i="1"/>
  <c r="AA25" i="31" s="1"/>
  <c r="AB25" i="31" s="1"/>
  <c r="H158" i="1"/>
  <c r="H160" i="1" s="1"/>
  <c r="F158" i="1"/>
  <c r="F160" i="1" s="1"/>
  <c r="G159" i="1" s="1"/>
  <c r="F159" i="22" l="1"/>
  <c r="H159" i="22" s="1"/>
  <c r="F159" i="23" s="1"/>
  <c r="H159" i="23" s="1"/>
  <c r="F159" i="24" s="1"/>
  <c r="H159" i="24" s="1"/>
  <c r="J159" i="22"/>
  <c r="L159" i="22" s="1"/>
  <c r="J159" i="23" s="1"/>
  <c r="L159" i="23" s="1"/>
  <c r="J160" i="1"/>
  <c r="K159" i="1" s="1"/>
  <c r="J158" i="1"/>
  <c r="M160" i="22" l="1"/>
  <c r="K160" i="22"/>
  <c r="M160" i="23"/>
  <c r="K160" i="23"/>
  <c r="N159" i="23"/>
  <c r="I160" i="23"/>
  <c r="G160" i="23"/>
  <c r="G160" i="22"/>
  <c r="I160" i="22"/>
  <c r="N159" i="22"/>
  <c r="G160" i="24"/>
  <c r="I160" i="24"/>
  <c r="J159" i="24" l="1"/>
  <c r="L159" i="24" s="1"/>
  <c r="Q160" i="22"/>
  <c r="P159" i="22"/>
  <c r="O160" i="22"/>
  <c r="Q160" i="23"/>
  <c r="P159" i="23"/>
  <c r="O160" i="23"/>
  <c r="K160" i="24" l="1"/>
  <c r="N159" i="24"/>
  <c r="M160" i="24"/>
  <c r="P159" i="24" l="1"/>
  <c r="O160" i="24"/>
  <c r="Q160" i="24"/>
  <c r="G34" i="1" l="1"/>
  <c r="F34" i="22" l="1"/>
  <c r="K34" i="1"/>
  <c r="G39" i="1"/>
  <c r="H34" i="22" l="1"/>
  <c r="N34" i="22"/>
  <c r="F39" i="22"/>
  <c r="F85" i="22" s="1"/>
  <c r="K39" i="1"/>
  <c r="G85" i="1"/>
  <c r="AC40" i="32" s="1"/>
  <c r="AC41" i="32" s="1"/>
  <c r="M34" i="1"/>
  <c r="M39" i="1" l="1"/>
  <c r="P34" i="22"/>
  <c r="N39" i="22"/>
  <c r="N85" i="22" s="1"/>
  <c r="K85" i="1"/>
  <c r="M32" i="30" s="1"/>
  <c r="F34" i="23"/>
  <c r="H39" i="22"/>
  <c r="H85" i="22" s="1"/>
  <c r="H34" i="23" l="1"/>
  <c r="F39" i="23"/>
  <c r="F85" i="23" s="1"/>
  <c r="N34" i="23"/>
  <c r="L43" i="1"/>
  <c r="L70" i="1"/>
  <c r="L76" i="1"/>
  <c r="L60" i="1"/>
  <c r="L84" i="1"/>
  <c r="L69" i="1"/>
  <c r="L37" i="1"/>
  <c r="L18" i="1"/>
  <c r="L35" i="1"/>
  <c r="L44" i="1"/>
  <c r="L15" i="1"/>
  <c r="L22" i="1"/>
  <c r="L29" i="1"/>
  <c r="M85" i="1"/>
  <c r="L83" i="1"/>
  <c r="L67" i="1"/>
  <c r="L77" i="1"/>
  <c r="L26" i="1"/>
  <c r="L59" i="1"/>
  <c r="L47" i="1"/>
  <c r="L55" i="1"/>
  <c r="L80" i="1"/>
  <c r="L75" i="1"/>
  <c r="L30" i="1"/>
  <c r="L33" i="1"/>
  <c r="L31" i="1"/>
  <c r="L36" i="1"/>
  <c r="L62" i="1"/>
  <c r="L72" i="1"/>
  <c r="L54" i="1"/>
  <c r="L66" i="1"/>
  <c r="L73" i="1"/>
  <c r="L46" i="1"/>
  <c r="L21" i="1"/>
  <c r="L16" i="1"/>
  <c r="L17" i="1"/>
  <c r="L13" i="1"/>
  <c r="L50" i="1"/>
  <c r="L38" i="1"/>
  <c r="L32" i="1"/>
  <c r="L61" i="1"/>
  <c r="L65" i="1"/>
  <c r="L85" i="1"/>
  <c r="L51" i="1"/>
  <c r="L19" i="1"/>
  <c r="L68" i="1"/>
  <c r="L74" i="1"/>
  <c r="L79" i="1"/>
  <c r="L58" i="1"/>
  <c r="L56" i="1"/>
  <c r="L14" i="1"/>
  <c r="L20" i="1"/>
  <c r="L64" i="1"/>
  <c r="L27" i="1"/>
  <c r="L48" i="1"/>
  <c r="L78" i="1"/>
  <c r="L63" i="1"/>
  <c r="L53" i="1"/>
  <c r="L34" i="1"/>
  <c r="S34" i="22"/>
  <c r="P39" i="22"/>
  <c r="L39" i="1"/>
  <c r="F34" i="24" l="1"/>
  <c r="H39" i="23"/>
  <c r="H85" i="23" s="1"/>
  <c r="S39" i="22"/>
  <c r="P85" i="22"/>
  <c r="R39" i="22" s="1"/>
  <c r="P34" i="23"/>
  <c r="N39" i="23"/>
  <c r="N85" i="23" s="1"/>
  <c r="R80" i="22" l="1"/>
  <c r="R72" i="22"/>
  <c r="R75" i="22"/>
  <c r="R35" i="22"/>
  <c r="R73" i="22"/>
  <c r="R64" i="22"/>
  <c r="R51" i="22"/>
  <c r="R47" i="22"/>
  <c r="R70" i="22"/>
  <c r="R58" i="22"/>
  <c r="R38" i="22"/>
  <c r="R69" i="22"/>
  <c r="R19" i="22"/>
  <c r="R20" i="22"/>
  <c r="R37" i="22"/>
  <c r="R78" i="22"/>
  <c r="R27" i="22"/>
  <c r="R31" i="22"/>
  <c r="R71" i="22"/>
  <c r="R68" i="22"/>
  <c r="R17" i="22"/>
  <c r="R50" i="22"/>
  <c r="R59" i="22"/>
  <c r="R76" i="22"/>
  <c r="R43" i="22"/>
  <c r="R22" i="22"/>
  <c r="R15" i="22"/>
  <c r="R16" i="22"/>
  <c r="R67" i="22"/>
  <c r="R36" i="22"/>
  <c r="R48" i="22"/>
  <c r="R65" i="22"/>
  <c r="R63" i="22"/>
  <c r="R18" i="22"/>
  <c r="R79" i="22"/>
  <c r="R44" i="22"/>
  <c r="R55" i="22"/>
  <c r="R56" i="22"/>
  <c r="R46" i="22"/>
  <c r="R83" i="22"/>
  <c r="S85" i="22"/>
  <c r="R26" i="22"/>
  <c r="R74" i="22"/>
  <c r="R13" i="22"/>
  <c r="R84" i="22"/>
  <c r="R32" i="22"/>
  <c r="R33" i="22"/>
  <c r="R60" i="22"/>
  <c r="R29" i="22"/>
  <c r="R85" i="22"/>
  <c r="R30" i="22"/>
  <c r="R62" i="22"/>
  <c r="R14" i="22"/>
  <c r="R61" i="22"/>
  <c r="R77" i="22"/>
  <c r="R21" i="22"/>
  <c r="R54" i="22"/>
  <c r="R53" i="22"/>
  <c r="R34" i="22"/>
  <c r="S34" i="23"/>
  <c r="P39" i="23"/>
  <c r="H34" i="24"/>
  <c r="H39" i="24" s="1"/>
  <c r="H85" i="24" s="1"/>
  <c r="N34" i="24"/>
  <c r="F39" i="24"/>
  <c r="F85" i="24" s="1"/>
  <c r="S39" i="23" l="1"/>
  <c r="P85" i="23"/>
  <c r="R39" i="23" s="1"/>
  <c r="P34" i="24"/>
  <c r="N39" i="24"/>
  <c r="N85" i="24" s="1"/>
  <c r="S85" i="23" l="1"/>
  <c r="R48" i="23"/>
  <c r="R56" i="23"/>
  <c r="R77" i="23"/>
  <c r="R51" i="23"/>
  <c r="R50" i="23"/>
  <c r="R16" i="23"/>
  <c r="R62" i="23"/>
  <c r="R74" i="23"/>
  <c r="R68" i="23"/>
  <c r="R79" i="23"/>
  <c r="R44" i="23"/>
  <c r="R76" i="23"/>
  <c r="R67" i="23"/>
  <c r="R21" i="23"/>
  <c r="R20" i="23"/>
  <c r="R84" i="23"/>
  <c r="R32" i="23"/>
  <c r="R43" i="23"/>
  <c r="R29" i="23"/>
  <c r="R65" i="23"/>
  <c r="R31" i="23"/>
  <c r="R47" i="23"/>
  <c r="R85" i="23"/>
  <c r="R53" i="23"/>
  <c r="R60" i="23"/>
  <c r="R63" i="23"/>
  <c r="R72" i="23"/>
  <c r="R78" i="23"/>
  <c r="R35" i="23"/>
  <c r="R22" i="23"/>
  <c r="R46" i="23"/>
  <c r="R37" i="23"/>
  <c r="R58" i="23"/>
  <c r="R73" i="23"/>
  <c r="R30" i="23"/>
  <c r="R59" i="23"/>
  <c r="R18" i="23"/>
  <c r="R80" i="23"/>
  <c r="R70" i="23"/>
  <c r="R27" i="23"/>
  <c r="R38" i="23"/>
  <c r="R61" i="23"/>
  <c r="R69" i="23"/>
  <c r="R83" i="23"/>
  <c r="R71" i="23"/>
  <c r="R13" i="23"/>
  <c r="R55" i="23"/>
  <c r="R75" i="23"/>
  <c r="R54" i="23"/>
  <c r="R26" i="23"/>
  <c r="R15" i="23"/>
  <c r="R19" i="23"/>
  <c r="R36" i="23"/>
  <c r="R17" i="23"/>
  <c r="R64" i="23"/>
  <c r="R14" i="23"/>
  <c r="R33" i="23"/>
  <c r="R34" i="23"/>
  <c r="S34" i="24"/>
  <c r="P39" i="24"/>
  <c r="S39" i="24" l="1"/>
  <c r="P85" i="24"/>
  <c r="R22" i="24" l="1"/>
  <c r="R72" i="24"/>
  <c r="R77" i="24"/>
  <c r="R69" i="24"/>
  <c r="R80" i="24"/>
  <c r="R75" i="24"/>
  <c r="R46" i="24"/>
  <c r="R73" i="24"/>
  <c r="R33" i="24"/>
  <c r="R83" i="24"/>
  <c r="R56" i="24"/>
  <c r="R35" i="24"/>
  <c r="R16" i="24"/>
  <c r="S85" i="24"/>
  <c r="R14" i="24"/>
  <c r="R67" i="24"/>
  <c r="R27" i="24"/>
  <c r="R61" i="24"/>
  <c r="R74" i="24"/>
  <c r="R84" i="24"/>
  <c r="R30" i="24"/>
  <c r="R18" i="24"/>
  <c r="R54" i="24"/>
  <c r="R76" i="24"/>
  <c r="R79" i="24"/>
  <c r="R37" i="24"/>
  <c r="R51" i="24"/>
  <c r="R15" i="24"/>
  <c r="R58" i="24"/>
  <c r="R71" i="24"/>
  <c r="R29" i="24"/>
  <c r="R19" i="24"/>
  <c r="R17" i="24"/>
  <c r="R48" i="24"/>
  <c r="R50" i="24"/>
  <c r="R26" i="24"/>
  <c r="R65" i="24"/>
  <c r="R60" i="24"/>
  <c r="R59" i="24"/>
  <c r="R68" i="24"/>
  <c r="R78" i="24"/>
  <c r="R53" i="24"/>
  <c r="R13" i="24"/>
  <c r="R70" i="24"/>
  <c r="R44" i="24"/>
  <c r="R32" i="24"/>
  <c r="R43" i="24"/>
  <c r="R20" i="24"/>
  <c r="R62" i="24"/>
  <c r="R36" i="24"/>
  <c r="R31" i="24"/>
  <c r="R85" i="24"/>
  <c r="R64" i="24"/>
  <c r="R21" i="24"/>
  <c r="R63" i="24"/>
  <c r="R38" i="24"/>
  <c r="R47" i="24"/>
  <c r="R55" i="24"/>
  <c r="R34" i="24"/>
  <c r="R39" i="24"/>
  <c r="G127" i="1"/>
  <c r="F127" i="22" s="1"/>
  <c r="J127" i="22" l="1"/>
  <c r="J130" i="22" s="1"/>
  <c r="J156" i="22" s="1"/>
  <c r="J158" i="22" s="1"/>
  <c r="J160" i="22" s="1"/>
  <c r="I156" i="1"/>
  <c r="AG38" i="32" s="1"/>
  <c r="AG39" i="32" s="1"/>
  <c r="H127" i="22"/>
  <c r="F130" i="22"/>
  <c r="F156" i="22" s="1"/>
  <c r="F158" i="22" s="1"/>
  <c r="F160" i="22" s="1"/>
  <c r="K127" i="1"/>
  <c r="G130" i="1"/>
  <c r="G156" i="1" s="1"/>
  <c r="G158" i="1" l="1"/>
  <c r="M173" i="30" s="1"/>
  <c r="AC38" i="32"/>
  <c r="AC39" i="32" s="1"/>
  <c r="L127" i="22"/>
  <c r="J127" i="23" s="1"/>
  <c r="N127" i="22"/>
  <c r="N130" i="22" s="1"/>
  <c r="N156" i="22" s="1"/>
  <c r="N158" i="22" s="1"/>
  <c r="N160" i="22" s="1"/>
  <c r="G160" i="1"/>
  <c r="M127" i="1"/>
  <c r="H130" i="22"/>
  <c r="H156" i="22" s="1"/>
  <c r="H158" i="22" s="1"/>
  <c r="H160" i="22" s="1"/>
  <c r="T159" i="22" s="1"/>
  <c r="F127" i="23"/>
  <c r="I158" i="1"/>
  <c r="I160" i="1" s="1"/>
  <c r="K156" i="1"/>
  <c r="M170" i="30" s="1"/>
  <c r="K130" i="1"/>
  <c r="L130" i="22" l="1"/>
  <c r="L156" i="22" s="1"/>
  <c r="L158" i="22" s="1"/>
  <c r="L160" i="22" s="1"/>
  <c r="L127" i="1"/>
  <c r="P127" i="22"/>
  <c r="P130" i="22" s="1"/>
  <c r="N127" i="23"/>
  <c r="F130" i="23"/>
  <c r="F156" i="23" s="1"/>
  <c r="F158" i="23" s="1"/>
  <c r="F160" i="23" s="1"/>
  <c r="H127" i="23"/>
  <c r="L130" i="1"/>
  <c r="M130" i="1"/>
  <c r="L126" i="1"/>
  <c r="L145" i="1"/>
  <c r="L147" i="1"/>
  <c r="L99" i="1"/>
  <c r="L103" i="1"/>
  <c r="L93" i="1"/>
  <c r="L139" i="1"/>
  <c r="L106" i="1"/>
  <c r="L142" i="1"/>
  <c r="L111" i="1"/>
  <c r="L156" i="1"/>
  <c r="L150" i="1"/>
  <c r="L140" i="1"/>
  <c r="L95" i="1"/>
  <c r="L100" i="1"/>
  <c r="L116" i="1"/>
  <c r="L102" i="1"/>
  <c r="L117" i="1"/>
  <c r="L122" i="1"/>
  <c r="L135" i="1"/>
  <c r="L128" i="1"/>
  <c r="L91" i="1"/>
  <c r="L137" i="1"/>
  <c r="L148" i="1"/>
  <c r="L155" i="1"/>
  <c r="L133" i="1"/>
  <c r="M156" i="1"/>
  <c r="L154" i="1"/>
  <c r="L92" i="1"/>
  <c r="L136" i="1"/>
  <c r="L104" i="1"/>
  <c r="L101" i="1"/>
  <c r="L124" i="1"/>
  <c r="L94" i="1"/>
  <c r="L143" i="1"/>
  <c r="L146" i="1"/>
  <c r="L141" i="1"/>
  <c r="L97" i="1"/>
  <c r="L105" i="1"/>
  <c r="L89" i="1"/>
  <c r="L123" i="1"/>
  <c r="L110" i="1"/>
  <c r="L149" i="1"/>
  <c r="L134" i="1"/>
  <c r="L119" i="1"/>
  <c r="L118" i="1"/>
  <c r="L109" i="1"/>
  <c r="L152" i="1"/>
  <c r="L112" i="1"/>
  <c r="L108" i="1"/>
  <c r="L125" i="1"/>
  <c r="L129" i="1"/>
  <c r="L132" i="1"/>
  <c r="L121" i="1"/>
  <c r="L90" i="1"/>
  <c r="L114" i="1"/>
  <c r="L96" i="1"/>
  <c r="L153" i="1"/>
  <c r="L115" i="1"/>
  <c r="L127" i="23"/>
  <c r="J130" i="23"/>
  <c r="J156" i="23" s="1"/>
  <c r="J158" i="23" s="1"/>
  <c r="J160" i="23" s="1"/>
  <c r="K158" i="1"/>
  <c r="N159" i="1"/>
  <c r="K160" i="1"/>
  <c r="S127" i="22" l="1"/>
  <c r="F127" i="24"/>
  <c r="H130" i="23"/>
  <c r="H156" i="23" s="1"/>
  <c r="H158" i="23" s="1"/>
  <c r="H160" i="23" s="1"/>
  <c r="T159" i="23" s="1"/>
  <c r="L130" i="23"/>
  <c r="L156" i="23" s="1"/>
  <c r="L158" i="23" s="1"/>
  <c r="L160" i="23" s="1"/>
  <c r="J127" i="24"/>
  <c r="S130" i="22"/>
  <c r="P156" i="22"/>
  <c r="R130" i="22" s="1"/>
  <c r="P127" i="23"/>
  <c r="N130" i="23"/>
  <c r="N156" i="23" s="1"/>
  <c r="N158" i="23" s="1"/>
  <c r="N160" i="23" s="1"/>
  <c r="S127" i="23" l="1"/>
  <c r="P130" i="23"/>
  <c r="J130" i="24"/>
  <c r="J156" i="24" s="1"/>
  <c r="J158" i="24" s="1"/>
  <c r="J160" i="24" s="1"/>
  <c r="L127" i="24"/>
  <c r="L130" i="24" s="1"/>
  <c r="L156" i="24" s="1"/>
  <c r="L158" i="24" s="1"/>
  <c r="L160" i="24" s="1"/>
  <c r="R140" i="22"/>
  <c r="R111" i="22"/>
  <c r="R96" i="22"/>
  <c r="R91" i="22"/>
  <c r="R125" i="22"/>
  <c r="R156" i="22"/>
  <c r="R152" i="22"/>
  <c r="R92" i="22"/>
  <c r="R137" i="22"/>
  <c r="R110" i="22"/>
  <c r="R128" i="22"/>
  <c r="R143" i="22"/>
  <c r="R103" i="22"/>
  <c r="R93" i="22"/>
  <c r="R153" i="22"/>
  <c r="R147" i="22"/>
  <c r="R106" i="22"/>
  <c r="P158" i="22"/>
  <c r="P160" i="22" s="1"/>
  <c r="R132" i="22"/>
  <c r="R141" i="22"/>
  <c r="R99" i="22"/>
  <c r="R102" i="22"/>
  <c r="R118" i="22"/>
  <c r="R136" i="22"/>
  <c r="R123" i="22"/>
  <c r="R154" i="22"/>
  <c r="R100" i="22"/>
  <c r="R124" i="22"/>
  <c r="S156" i="22"/>
  <c r="R148" i="22"/>
  <c r="R139" i="22"/>
  <c r="R95" i="22"/>
  <c r="R112" i="22"/>
  <c r="R89" i="22"/>
  <c r="R108" i="22"/>
  <c r="R149" i="22"/>
  <c r="R109" i="22"/>
  <c r="R146" i="22"/>
  <c r="R90" i="22"/>
  <c r="R105" i="22"/>
  <c r="R142" i="22"/>
  <c r="R117" i="22"/>
  <c r="R119" i="22"/>
  <c r="R134" i="22"/>
  <c r="R104" i="22"/>
  <c r="R121" i="22"/>
  <c r="R94" i="22"/>
  <c r="R155" i="22"/>
  <c r="R135" i="22"/>
  <c r="R114" i="22"/>
  <c r="R101" i="22"/>
  <c r="R145" i="22"/>
  <c r="R133" i="22"/>
  <c r="R97" i="22"/>
  <c r="R150" i="22"/>
  <c r="R122" i="22"/>
  <c r="R126" i="22"/>
  <c r="R129" i="22"/>
  <c r="R115" i="22"/>
  <c r="R116" i="22"/>
  <c r="R127" i="22"/>
  <c r="H127" i="24"/>
  <c r="H130" i="24" s="1"/>
  <c r="H156" i="24" s="1"/>
  <c r="H158" i="24" s="1"/>
  <c r="H160" i="24" s="1"/>
  <c r="T159" i="24" s="1"/>
  <c r="F130" i="24"/>
  <c r="F156" i="24" s="1"/>
  <c r="F158" i="24" s="1"/>
  <c r="F160" i="24" s="1"/>
  <c r="N127" i="24"/>
  <c r="N130" i="24" l="1"/>
  <c r="N156" i="24" s="1"/>
  <c r="N158" i="24" s="1"/>
  <c r="N160" i="24" s="1"/>
  <c r="P127" i="24"/>
  <c r="P156" i="23"/>
  <c r="R130" i="23" s="1"/>
  <c r="S130" i="23"/>
  <c r="S127" i="24" l="1"/>
  <c r="P130" i="24"/>
  <c r="R94" i="23"/>
  <c r="R132" i="23"/>
  <c r="R115" i="23"/>
  <c r="R114" i="23"/>
  <c r="R140" i="23"/>
  <c r="R136" i="23"/>
  <c r="R147" i="23"/>
  <c r="R99" i="23"/>
  <c r="R141" i="23"/>
  <c r="R152" i="23"/>
  <c r="R123" i="23"/>
  <c r="R133" i="23"/>
  <c r="R117" i="23"/>
  <c r="R103" i="23"/>
  <c r="R135" i="23"/>
  <c r="R148" i="23"/>
  <c r="R91" i="23"/>
  <c r="R105" i="23"/>
  <c r="R156" i="23"/>
  <c r="R101" i="23"/>
  <c r="R143" i="23"/>
  <c r="R121" i="23"/>
  <c r="R106" i="23"/>
  <c r="R125" i="23"/>
  <c r="R153" i="23"/>
  <c r="R102" i="23"/>
  <c r="R119" i="23"/>
  <c r="R90" i="23"/>
  <c r="R116" i="23"/>
  <c r="R142" i="23"/>
  <c r="R108" i="23"/>
  <c r="R128" i="23"/>
  <c r="R100" i="23"/>
  <c r="R118" i="23"/>
  <c r="R97" i="23"/>
  <c r="P158" i="23"/>
  <c r="P160" i="23" s="1"/>
  <c r="R93" i="23"/>
  <c r="R95" i="23"/>
  <c r="R150" i="23"/>
  <c r="R89" i="23"/>
  <c r="R146" i="23"/>
  <c r="R112" i="23"/>
  <c r="R155" i="23"/>
  <c r="R134" i="23"/>
  <c r="R109" i="23"/>
  <c r="R129" i="23"/>
  <c r="R154" i="23"/>
  <c r="R124" i="23"/>
  <c r="R92" i="23"/>
  <c r="R139" i="23"/>
  <c r="R96" i="23"/>
  <c r="S156" i="23"/>
  <c r="R126" i="23"/>
  <c r="R122" i="23"/>
  <c r="R145" i="23"/>
  <c r="R110" i="23"/>
  <c r="R137" i="23"/>
  <c r="R111" i="23"/>
  <c r="R104" i="23"/>
  <c r="R149" i="23"/>
  <c r="R127" i="23"/>
  <c r="P156" i="24" l="1"/>
  <c r="R130" i="24" s="1"/>
  <c r="S130" i="24"/>
  <c r="R154" i="24" l="1"/>
  <c r="R156" i="24"/>
  <c r="R149" i="24"/>
  <c r="R129" i="24"/>
  <c r="R142" i="24"/>
  <c r="R117" i="24"/>
  <c r="R97" i="24"/>
  <c r="R112" i="24"/>
  <c r="R110" i="24"/>
  <c r="R90" i="24"/>
  <c r="R143" i="24"/>
  <c r="R119" i="24"/>
  <c r="R105" i="24"/>
  <c r="S156" i="24"/>
  <c r="R93" i="24"/>
  <c r="R103" i="24"/>
  <c r="R116" i="24"/>
  <c r="R89" i="24"/>
  <c r="R95" i="24"/>
  <c r="R121" i="24"/>
  <c r="R92" i="24"/>
  <c r="R96" i="24"/>
  <c r="R94" i="24"/>
  <c r="R91" i="24"/>
  <c r="R137" i="24"/>
  <c r="R135" i="24"/>
  <c r="R122" i="24"/>
  <c r="R145" i="24"/>
  <c r="R136" i="24"/>
  <c r="R115" i="24"/>
  <c r="R146" i="24"/>
  <c r="R141" i="24"/>
  <c r="R155" i="24"/>
  <c r="R132" i="24"/>
  <c r="R126" i="24"/>
  <c r="R134" i="24"/>
  <c r="R109" i="24"/>
  <c r="R123" i="24"/>
  <c r="R114" i="24"/>
  <c r="R106" i="24"/>
  <c r="R148" i="24"/>
  <c r="R104" i="24"/>
  <c r="R99" i="24"/>
  <c r="R100" i="24"/>
  <c r="R118" i="24"/>
  <c r="R153" i="24"/>
  <c r="R140" i="24"/>
  <c r="R133" i="24"/>
  <c r="R139" i="24"/>
  <c r="R108" i="24"/>
  <c r="R125" i="24"/>
  <c r="R101" i="24"/>
  <c r="P158" i="24"/>
  <c r="P160" i="24" s="1"/>
  <c r="R152" i="24"/>
  <c r="R111" i="24"/>
  <c r="R128" i="24"/>
  <c r="R102" i="24"/>
  <c r="R147" i="24"/>
  <c r="R150" i="24"/>
  <c r="R124" i="24"/>
  <c r="R12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R1" authorId="0" shapeId="0" xr:uid="{A090B9C8-266C-45AF-BFAE-75D57DBFEB17}">
      <text>
        <r>
          <rPr>
            <sz val="11"/>
            <color rgb="FF000000"/>
            <rFont val="Calibri"/>
            <family val="2"/>
            <scheme val="minor"/>
          </rPr>
          <t>@sherah@ed-ops.com
_Assigned to sherah@ed-ops.com_
	-Sherah LeBoeuf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<sst xmlns="http://schemas.openxmlformats.org/spreadsheetml/2006/main" count="14419" uniqueCount="4352">
  <si>
    <t xml:space="preserve">School Name:  </t>
  </si>
  <si>
    <t>Item</t>
  </si>
  <si>
    <t>References</t>
  </si>
  <si>
    <t>School Food Service</t>
  </si>
  <si>
    <t>Special Education</t>
  </si>
  <si>
    <t>Teachers</t>
  </si>
  <si>
    <t>100</t>
  </si>
  <si>
    <t>Social Security</t>
  </si>
  <si>
    <t>Retirement</t>
  </si>
  <si>
    <t>Unemployment</t>
  </si>
  <si>
    <t>200-290</t>
  </si>
  <si>
    <t>200</t>
  </si>
  <si>
    <t>Legal Services</t>
  </si>
  <si>
    <t>Accounting/Auditing Services</t>
  </si>
  <si>
    <t>300</t>
  </si>
  <si>
    <t>Purchased Student Transportation Services</t>
  </si>
  <si>
    <t>510-519</t>
  </si>
  <si>
    <t>Travel</t>
  </si>
  <si>
    <t>620-629</t>
  </si>
  <si>
    <t>Equipment/Furnishings</t>
  </si>
  <si>
    <t>Indirect Costs</t>
  </si>
  <si>
    <t>TOTAL EXPENDITURES</t>
  </si>
  <si>
    <t>100-900</t>
  </si>
  <si>
    <t>Medicare</t>
  </si>
  <si>
    <t>Water/Sewerage</t>
  </si>
  <si>
    <t>Interest on Loans/Notes</t>
  </si>
  <si>
    <t>GENERAL FUNDS</t>
  </si>
  <si>
    <t>Principal/Executive Salary</t>
  </si>
  <si>
    <t>Business Official Salary</t>
  </si>
  <si>
    <t>Therapists/Specialists/Counselors</t>
  </si>
  <si>
    <t xml:space="preserve">School Administrators  </t>
  </si>
  <si>
    <t>Clerical/Secretarial Salary</t>
  </si>
  <si>
    <t>Health Insurance Benefits - Current Employees</t>
  </si>
  <si>
    <t>Health Insurance Benefits - Retired Employees</t>
  </si>
  <si>
    <t>Custodial Salaries</t>
  </si>
  <si>
    <t>Management Company Services</t>
  </si>
  <si>
    <t>Repairs &amp; Maintenance Services</t>
  </si>
  <si>
    <t>Food &amp; Commodities</t>
  </si>
  <si>
    <t>600-644</t>
  </si>
  <si>
    <t>Materials and Supplies</t>
  </si>
  <si>
    <t>Earnings on Investments</t>
  </si>
  <si>
    <t>REVENUES FROM LOCAL SOURCES</t>
  </si>
  <si>
    <t>Contributions and Donations</t>
  </si>
  <si>
    <t>TOTAL REVENUES FROM LOCAL SOURCES</t>
  </si>
  <si>
    <t>REVENUE FROM STATE SOURCES</t>
  </si>
  <si>
    <t>Unrestricted Grants-In-Aid</t>
  </si>
  <si>
    <t>State Per Pupil Aid  -  MFP</t>
  </si>
  <si>
    <t>Other Unrestricted Revenues</t>
  </si>
  <si>
    <t>Restricted Grants-In-Aid</t>
  </si>
  <si>
    <t>Education Support Fund (8g)</t>
  </si>
  <si>
    <t>PIP</t>
  </si>
  <si>
    <t>TOTAL REVENUE FROM STATE SOURCES</t>
  </si>
  <si>
    <t>REVENUE FROM FEDERAL SOURCES</t>
  </si>
  <si>
    <t>Unrestricted Grants-In-Aid Direct From the Federal Gov't</t>
  </si>
  <si>
    <t>Restricted Grants-In-Aid Direct From the Federal Gov't</t>
  </si>
  <si>
    <t>Other Restricted Grants - Direct</t>
  </si>
  <si>
    <t>Restricted Grants-In-Aid From Federal Gov't Thru State</t>
  </si>
  <si>
    <t xml:space="preserve">    IDEA - Part B</t>
  </si>
  <si>
    <t>4531</t>
  </si>
  <si>
    <t xml:space="preserve">    IDEA - Preschool</t>
  </si>
  <si>
    <t>4532</t>
  </si>
  <si>
    <t xml:space="preserve">    Other Special Education Programs</t>
  </si>
  <si>
    <t>4535</t>
  </si>
  <si>
    <t>4541</t>
  </si>
  <si>
    <t xml:space="preserve">    Title I, Part C - Migrant</t>
  </si>
  <si>
    <t>4542</t>
  </si>
  <si>
    <t>4544</t>
  </si>
  <si>
    <t>4545</t>
  </si>
  <si>
    <t>4590</t>
  </si>
  <si>
    <t xml:space="preserve"> TOTAL REVENUE FROM FEDERAL SOURCES</t>
  </si>
  <si>
    <t>% of 
Total 
Budget</t>
  </si>
  <si>
    <t>Utilities (natural gas, electricity, coal, gasoline)</t>
  </si>
  <si>
    <t>Books and Periodicals (including textbooks/workbooks)</t>
  </si>
  <si>
    <t>Buildings Acquisitions (existing structures)</t>
  </si>
  <si>
    <t>TOTAL REVENUES &amp; OTHER SOURCES OF FUNDS</t>
  </si>
  <si>
    <t>SALARIES (Object 100 series)</t>
  </si>
  <si>
    <t>TOTAL SALARIES</t>
  </si>
  <si>
    <t>EMPLOYEE BENEFITS (Object 200 series)</t>
  </si>
  <si>
    <t>TOTAL EMPLOYEE BENEFITS</t>
  </si>
  <si>
    <t>TOTAL PURCHASED PROF. &amp; TECHNICAL SVCS.</t>
  </si>
  <si>
    <t>PURCHASED PROF. &amp; TECH. SVCS (Object 300 Series)</t>
  </si>
  <si>
    <t>PURCHASED PROPERTY SERVICES (Object 400 Series)</t>
  </si>
  <si>
    <t>TOTAL PURCHASED PROPERTY SERVICES</t>
  </si>
  <si>
    <t>SUPPLIES (Object 600 series)</t>
  </si>
  <si>
    <t>TOTAL SUPPLIES</t>
  </si>
  <si>
    <t>PROPERTY (Object 700 series)</t>
  </si>
  <si>
    <t>TOTAL PROPERTY</t>
  </si>
  <si>
    <t>OTHER OBJECTS (Object 800 series)</t>
  </si>
  <si>
    <t>TOTAL OTHER OBJECTS</t>
  </si>
  <si>
    <t>TOTAL OTHER USES OF FUNDS</t>
  </si>
  <si>
    <t>OTHER USES OF FUNDS (Object 900 Series)</t>
  </si>
  <si>
    <t>Revenues</t>
  </si>
  <si>
    <t>Expenditures</t>
  </si>
  <si>
    <t>L.A.U.G.H.
Source/
Object
Code</t>
  </si>
  <si>
    <t>Other Restricted Revenues (list grant &amp; amount below)</t>
  </si>
  <si>
    <t>100-150</t>
  </si>
  <si>
    <t>300-340</t>
  </si>
  <si>
    <t>Equipment &amp; Vehicle Rent/Lease</t>
  </si>
  <si>
    <t>400-490</t>
  </si>
  <si>
    <t>OTHER PURCHASED SERVICES (Object 500 Series)</t>
  </si>
  <si>
    <t>570</t>
  </si>
  <si>
    <t>630-632</t>
  </si>
  <si>
    <t>1000-1999</t>
  </si>
  <si>
    <t>Comments/Assumptions</t>
  </si>
  <si>
    <t>TOTAL OTHER PURCHASED SERVICES</t>
  </si>
  <si>
    <t xml:space="preserve">Excess (Deficiency) of Revenues over Expenditures  </t>
  </si>
  <si>
    <t xml:space="preserve">Fund Balance From Prior Year  </t>
  </si>
  <si>
    <t xml:space="preserve">Fund Balance at End of Year  </t>
  </si>
  <si>
    <t>Food Service (Income from meals)</t>
  </si>
  <si>
    <t>E-Rate Reimbursements</t>
  </si>
  <si>
    <t>Impact Aid Fund - Direct from Federal Gov't</t>
  </si>
  <si>
    <t>ROTC - Direct from Federal Gov't</t>
  </si>
  <si>
    <t>Career &amp; Technical Education</t>
  </si>
  <si>
    <t xml:space="preserve">    FEMA - Disaster Relief</t>
  </si>
  <si>
    <t>Building and Land Rent/Lease</t>
  </si>
  <si>
    <t>Food Service Management</t>
  </si>
  <si>
    <t>230-290</t>
  </si>
  <si>
    <t>Other (exclude amounts on lines 2 - 6)</t>
  </si>
  <si>
    <t>1500-1542</t>
  </si>
  <si>
    <t>1600-1620</t>
  </si>
  <si>
    <t>Other Unrestricted Grants - Direct</t>
  </si>
  <si>
    <t>500-590</t>
  </si>
  <si>
    <t>Land Purchases and Land Improvements</t>
  </si>
  <si>
    <t>730-739</t>
  </si>
  <si>
    <t>700-740</t>
  </si>
  <si>
    <t>800 - 890</t>
  </si>
  <si>
    <t>900-932</t>
  </si>
  <si>
    <t>Loan Repayment (principal only)</t>
  </si>
  <si>
    <t>SPECIAL FUNDS</t>
  </si>
  <si>
    <t xml:space="preserve">Student Count Budget is Based on: </t>
  </si>
  <si>
    <t>Local "MFP" Per Pupil Aid (Local Revenue transfers)</t>
  </si>
  <si>
    <t>580-583</t>
  </si>
  <si>
    <t>640-644</t>
  </si>
  <si>
    <t xml:space="preserve">    Extended School Year Services</t>
  </si>
  <si>
    <t>TOTAL FUNDS</t>
  </si>
  <si>
    <t xml:space="preserve">    Title I </t>
  </si>
  <si>
    <t xml:space="preserve">    Title I - School Improvement</t>
  </si>
  <si>
    <t xml:space="preserve">    Educational Excellence Fund (EEF)</t>
  </si>
  <si>
    <t>Every Student Succeeds Act (ESSA)</t>
  </si>
  <si>
    <t xml:space="preserve">     Charter School Grant (CSP Funds)</t>
  </si>
  <si>
    <t xml:space="preserve">    IDEA - High Cost Services (HCS)</t>
  </si>
  <si>
    <t xml:space="preserve">    Other ESSA Programs</t>
  </si>
  <si>
    <t xml:space="preserve">    Title IV - Student Support &amp; Acad. Enrichment (SSAE)</t>
  </si>
  <si>
    <t xml:space="preserve">    Title III</t>
  </si>
  <si>
    <t>Administrative Fee Payable to Dept of Education</t>
  </si>
  <si>
    <t>Dues and Fees</t>
  </si>
  <si>
    <t>Property Insurance</t>
  </si>
  <si>
    <t>Liability insurance</t>
  </si>
  <si>
    <t>Fleet insurance</t>
  </si>
  <si>
    <t>Errors/omissions, etc</t>
  </si>
  <si>
    <t>Faithful performance Bonds</t>
  </si>
  <si>
    <t xml:space="preserve">    Title II - Supporting Effective Instruction</t>
  </si>
  <si>
    <t xml:space="preserve">    Title IX - Homeless Education</t>
  </si>
  <si>
    <t xml:space="preserve">    Gov. Emergency Education Relief Fund (GEERF) I</t>
  </si>
  <si>
    <t xml:space="preserve">    Elem. &amp; Secondary School Emergency Relief (ESSERF) I</t>
  </si>
  <si>
    <t xml:space="preserve">    Elem. &amp; Secondary School Emergency Relief (ESSERF) II</t>
  </si>
  <si>
    <t xml:space="preserve">    American Rescue Plan Elem. &amp; Secondary  (ESSERF) III</t>
  </si>
  <si>
    <t xml:space="preserve">    Rethink K-12 Education Models Discretionary Grant </t>
  </si>
  <si>
    <t xml:space="preserve">General Fund Balance as a percentage of revenues </t>
  </si>
  <si>
    <t xml:space="preserve">TOTAL </t>
  </si>
  <si>
    <t>Budget Revisions</t>
  </si>
  <si>
    <t>Revised Annual Budget 2021-22</t>
  </si>
  <si>
    <t>Quarter</t>
  </si>
  <si>
    <t xml:space="preserve">Ending </t>
  </si>
  <si>
    <t xml:space="preserve">     LA-4 (State)</t>
  </si>
  <si>
    <t>Qtr 1</t>
  </si>
  <si>
    <t>Qtr 2</t>
  </si>
  <si>
    <t>Qtr 3</t>
  </si>
  <si>
    <t>Annual</t>
  </si>
  <si>
    <t>Budget
As of
09/30</t>
  </si>
  <si>
    <t>Budget
As of
12/31</t>
  </si>
  <si>
    <t>Budget
As of
03/30</t>
  </si>
  <si>
    <r>
      <t>·</t>
    </r>
    <r>
      <rPr>
        <sz val="7"/>
        <rFont val="Times New Roman"/>
        <family val="1"/>
      </rPr>
      <t xml:space="preserve">         </t>
    </r>
    <r>
      <rPr>
        <sz val="11"/>
        <rFont val="Calibri"/>
        <family val="2"/>
      </rPr>
      <t>Enter comments in column N as appropriate for individual revenue or expenditure items</t>
    </r>
  </si>
  <si>
    <r>
      <t>·</t>
    </r>
    <r>
      <rPr>
        <sz val="7"/>
        <rFont val="Times New Roman"/>
        <family val="1"/>
      </rPr>
      <t xml:space="preserve">         </t>
    </r>
    <r>
      <rPr>
        <sz val="11"/>
        <rFont val="Calibri"/>
        <family val="2"/>
      </rPr>
      <t>Formulas will automatically sum the General and Special Funds columns in Total Funds columns J and K for both the prior and current fiscal year numbers</t>
    </r>
  </si>
  <si>
    <r>
      <t>·</t>
    </r>
    <r>
      <rPr>
        <sz val="7"/>
        <rFont val="Times New Roman"/>
        <family val="1"/>
      </rPr>
      <t xml:space="preserve">         </t>
    </r>
    <r>
      <rPr>
        <sz val="11"/>
        <rFont val="Calibri"/>
        <family val="2"/>
      </rPr>
      <t>Enter the school name in column D</t>
    </r>
  </si>
  <si>
    <t>Instructions:</t>
  </si>
  <si>
    <t>Annual Budget Form</t>
  </si>
  <si>
    <t>Quarterly Budget Form</t>
  </si>
  <si>
    <r>
      <t>·</t>
    </r>
    <r>
      <rPr>
        <sz val="7"/>
        <rFont val="Times New Roman"/>
        <family val="1"/>
      </rPr>
      <t xml:space="preserve">         </t>
    </r>
    <r>
      <rPr>
        <sz val="11"/>
        <rFont val="Calibri"/>
        <family val="2"/>
      </rPr>
      <t>School name will automatically populate from Annual Budget form</t>
    </r>
  </si>
  <si>
    <r>
      <t>·</t>
    </r>
    <r>
      <rPr>
        <sz val="7"/>
        <rFont val="Times New Roman"/>
        <family val="1"/>
      </rPr>
      <t xml:space="preserve">         </t>
    </r>
    <r>
      <rPr>
        <sz val="11"/>
        <rFont val="Calibri"/>
        <family val="2"/>
      </rPr>
      <t>Enter the student count on which the Quarter 1 budget is based in column N</t>
    </r>
  </si>
  <si>
    <r>
      <t>·</t>
    </r>
    <r>
      <rPr>
        <sz val="7"/>
        <rFont val="Times New Roman"/>
        <family val="1"/>
      </rPr>
      <t xml:space="preserve">         </t>
    </r>
    <r>
      <rPr>
        <sz val="11"/>
        <rFont val="Calibri"/>
        <family val="2"/>
      </rPr>
      <t>Current year budget will automatically populate from Annual Budget form in columns F, J and N</t>
    </r>
  </si>
  <si>
    <t>(If needed, add additional revenue sources here)</t>
  </si>
  <si>
    <r>
      <t>·</t>
    </r>
    <r>
      <rPr>
        <sz val="7"/>
        <rFont val="Times New Roman"/>
        <family val="1"/>
      </rPr>
      <t xml:space="preserve">         </t>
    </r>
    <r>
      <rPr>
        <sz val="11"/>
        <rFont val="Calibri"/>
        <family val="2"/>
      </rPr>
      <t>Enter the student count from the prior year actual and the student count on which the current year budget is based in column N</t>
    </r>
  </si>
  <si>
    <r>
      <t>·</t>
    </r>
    <r>
      <rPr>
        <sz val="7"/>
        <rFont val="Times New Roman"/>
        <family val="1"/>
      </rPr>
      <t xml:space="preserve">         </t>
    </r>
    <r>
      <rPr>
        <sz val="11"/>
        <rFont val="Calibri"/>
        <family val="2"/>
      </rPr>
      <t xml:space="preserve">Enter the </t>
    </r>
    <r>
      <rPr>
        <i/>
        <sz val="11"/>
        <rFont val="Calibri"/>
        <family val="2"/>
      </rPr>
      <t>actual revenues and expenses</t>
    </r>
    <r>
      <rPr>
        <sz val="11"/>
        <rFont val="Calibri"/>
        <family val="2"/>
      </rPr>
      <t xml:space="preserve"> for the prior fiscal year for General Fund in column F </t>
    </r>
  </si>
  <si>
    <r>
      <t>·</t>
    </r>
    <r>
      <rPr>
        <sz val="7"/>
        <rFont val="Times New Roman"/>
        <family val="1"/>
      </rPr>
      <t xml:space="preserve">         </t>
    </r>
    <r>
      <rPr>
        <sz val="11"/>
        <rFont val="Calibri"/>
        <family val="2"/>
      </rPr>
      <t xml:space="preserve">Enter the </t>
    </r>
    <r>
      <rPr>
        <i/>
        <sz val="11"/>
        <rFont val="Calibri"/>
        <family val="2"/>
      </rPr>
      <t>actual revenues and expenses</t>
    </r>
    <r>
      <rPr>
        <sz val="11"/>
        <rFont val="Calibri"/>
        <family val="2"/>
      </rPr>
      <t xml:space="preserve"> for the prior fiscal year for Special Funds in column H</t>
    </r>
  </si>
  <si>
    <r>
      <t>·</t>
    </r>
    <r>
      <rPr>
        <sz val="7"/>
        <rFont val="Times New Roman"/>
        <family val="1"/>
      </rPr>
      <t xml:space="preserve">         </t>
    </r>
    <r>
      <rPr>
        <sz val="11"/>
        <rFont val="Calibri"/>
        <family val="2"/>
      </rPr>
      <t xml:space="preserve">Enter the </t>
    </r>
    <r>
      <rPr>
        <i/>
        <sz val="11"/>
        <rFont val="Calibri"/>
        <family val="2"/>
      </rPr>
      <t xml:space="preserve">budget for the current fiscal year for </t>
    </r>
    <r>
      <rPr>
        <sz val="11"/>
        <rFont val="Calibri"/>
        <family val="2"/>
      </rPr>
      <t>Special Funds in column I</t>
    </r>
  </si>
  <si>
    <r>
      <t>o</t>
    </r>
    <r>
      <rPr>
        <sz val="7"/>
        <color rgb="FF0070C0"/>
        <rFont val="Times New Roman"/>
        <family val="1"/>
      </rPr>
      <t xml:space="preserve">   </t>
    </r>
    <r>
      <rPr>
        <sz val="11"/>
        <color rgb="FF0070C0"/>
        <rFont val="Calibri"/>
        <family val="2"/>
      </rPr>
      <t xml:space="preserve">Note:  Annual Budget data aligns with the Annual Financial Report (AFR) and the Louisiana Accounting and Uniform Governmental Handbook (LAUGH), Bulletin 1929 both of which follow governmental accounting principles.  
Louisiana laws contain requirements for school district accounting.  By law, the Louisiana Accounting and Uniform Governmental Handbook (LAUGH) (Bulletin 1929) is the required accounting manual for local educational agencies.  
This document can be accessed on the Department of Education's website at www.louisianabelieves.com.  (link:  http://www.louisianabelieves.com/docs/school-choice/guide---laugh-guide.pdf?sfvrsn=2 )  </t>
    </r>
  </si>
  <si>
    <r>
      <t>·</t>
    </r>
    <r>
      <rPr>
        <sz val="7"/>
        <rFont val="Times New Roman"/>
        <family val="1"/>
      </rPr>
      <t xml:space="preserve">         </t>
    </r>
    <r>
      <rPr>
        <sz val="11"/>
        <rFont val="Calibri"/>
        <family val="2"/>
      </rPr>
      <t>Enter the Quarter 1 revenues and expenses for both General and Special Funds in Yr-to-Date Revenue/Expenditures in columns I and M</t>
    </r>
  </si>
  <si>
    <r>
      <t>·</t>
    </r>
    <r>
      <rPr>
        <sz val="7"/>
        <rFont val="Times New Roman"/>
        <family val="1"/>
      </rPr>
      <t xml:space="preserve">         </t>
    </r>
    <r>
      <rPr>
        <sz val="11"/>
        <rFont val="Calibri"/>
        <family val="2"/>
      </rPr>
      <t>Formulas will automatically sum the Yr-to-Date Revenue/Expenditures in Total Funds column Q</t>
    </r>
  </si>
  <si>
    <t>Pandemic Relief Funds</t>
  </si>
  <si>
    <t>Other Restricted Grants thru State (list grant &amp; amount below)</t>
  </si>
  <si>
    <r>
      <t xml:space="preserve">Other Sources of Funds </t>
    </r>
    <r>
      <rPr>
        <i/>
        <sz val="11"/>
        <rFont val="Arial"/>
        <family val="2"/>
      </rPr>
      <t>(Provide Detail)</t>
    </r>
  </si>
  <si>
    <t>Other Sources of Funds (Provide Detail)</t>
  </si>
  <si>
    <t>Yr-to-Date Revenue/
Expenditures</t>
  </si>
  <si>
    <t>SPECIAL FUNDS
Includes Special Fund Federal, Federal ESSA, &amp; Other Special Funds</t>
  </si>
  <si>
    <t>Actual
% of 
Budget</t>
  </si>
  <si>
    <t>Other School Administrators (exclude amounts on lines 79-80)</t>
  </si>
  <si>
    <t>Other (excludes amounts on lines 79-85)</t>
  </si>
  <si>
    <t>Other (excludes amounts on lines 89-94)</t>
  </si>
  <si>
    <t>Other Purch Prof/Tech Svcs (excludes amounts on lines 98-100)</t>
  </si>
  <si>
    <t>Other (excludes amounts on lines 104-107)</t>
  </si>
  <si>
    <t>Other (excludes amounts on lines 111-118)</t>
  </si>
  <si>
    <t>Other Supplies (excludes amounts on lines 122-125)</t>
  </si>
  <si>
    <t>Other (Excludes amounts on lines 129-131)</t>
  </si>
  <si>
    <t>Other (excludes amounts on lines 135-138)</t>
  </si>
  <si>
    <t>Other (Excludes amounts on line 142)</t>
  </si>
  <si>
    <t>Other (exclude amounts on lines 3-7)</t>
  </si>
  <si>
    <t>Includes Special Fund Federal, Federal ESSA and Other Special Funds</t>
  </si>
  <si>
    <t>Other (Excludes amounts on lines 129-132)</t>
  </si>
  <si>
    <t>Other (Excludes amount on line 142)</t>
  </si>
  <si>
    <r>
      <t>·</t>
    </r>
    <r>
      <rPr>
        <sz val="7"/>
        <rFont val="Times New Roman"/>
        <family val="1"/>
      </rPr>
      <t xml:space="preserve">         </t>
    </r>
    <r>
      <rPr>
        <sz val="11"/>
        <rFont val="Calibri"/>
        <family val="2"/>
      </rPr>
      <t xml:space="preserve">Enter the </t>
    </r>
    <r>
      <rPr>
        <i/>
        <sz val="11"/>
        <rFont val="Calibri"/>
        <family val="2"/>
      </rPr>
      <t>budget for the current fiscal year</t>
    </r>
    <r>
      <rPr>
        <sz val="11"/>
        <rFont val="Calibri"/>
        <family val="2"/>
      </rPr>
      <t xml:space="preserve">, for General Fund in column G </t>
    </r>
  </si>
  <si>
    <t xml:space="preserve">    Coronavirus Relief Fund</t>
  </si>
  <si>
    <t>Budget Adjustments</t>
  </si>
  <si>
    <r>
      <t>·</t>
    </r>
    <r>
      <rPr>
        <sz val="7"/>
        <rFont val="Times New Roman"/>
        <family val="1"/>
      </rPr>
      <t xml:space="preserve">         </t>
    </r>
    <r>
      <rPr>
        <sz val="11"/>
        <rFont val="Calibri"/>
        <family val="2"/>
      </rPr>
      <t>Enter any budget adjustments (plus or minus amounts)  in columns G and K</t>
    </r>
  </si>
  <si>
    <r>
      <t>·</t>
    </r>
    <r>
      <rPr>
        <sz val="7"/>
        <rFont val="Times New Roman"/>
        <family val="1"/>
      </rPr>
      <t xml:space="preserve">         </t>
    </r>
    <r>
      <rPr>
        <sz val="11"/>
        <rFont val="Calibri"/>
        <family val="2"/>
      </rPr>
      <t>Budget adjustment amounts for both General and Special Funds will be summed in column O</t>
    </r>
  </si>
  <si>
    <t>Due Date:</t>
  </si>
  <si>
    <t>Financial Report</t>
  </si>
  <si>
    <t>July 31</t>
  </si>
  <si>
    <t>September 30</t>
  </si>
  <si>
    <t>October 31</t>
  </si>
  <si>
    <t>January 31</t>
  </si>
  <si>
    <t>April 30</t>
  </si>
  <si>
    <t>Annual Operating Budget</t>
  </si>
  <si>
    <t>Adopted Operating Budget</t>
  </si>
  <si>
    <t>First Quarter Financial Report</t>
  </si>
  <si>
    <t>Second Quarter Financial Report</t>
  </si>
  <si>
    <t>Third Quarter Financial Report</t>
  </si>
  <si>
    <t>Includes actual data for the prior fiscal year ending June 30 along with budgeted data for the current fiscal year starting July 1.</t>
  </si>
  <si>
    <t>Submission is required if July 31 Annual Operating Budget was not adopted in accordance with the Louisiana Local Government Budget Act.</t>
  </si>
  <si>
    <t>Includes budgeted data for the fiscal year along with the year to date (YTD) actual data through September 30.</t>
  </si>
  <si>
    <t>Includes budgeted data for the fiscal year along with the year to date (YTD) actual data through March 31.</t>
  </si>
  <si>
    <t>Includes budgeted data for the fiscal year along with the year to date (YTD) actual data through December 31.</t>
  </si>
  <si>
    <r>
      <t>·</t>
    </r>
    <r>
      <rPr>
        <sz val="7"/>
        <rFont val="Times New Roman"/>
        <family val="1"/>
      </rPr>
      <t xml:space="preserve">         </t>
    </r>
    <r>
      <rPr>
        <sz val="11"/>
        <rFont val="Calibri"/>
        <family val="2"/>
      </rPr>
      <t>Adjusted budget including current year budget plus or minus budget adjustments will automatically sum in the "Budget as of" column (columns H, L and P)</t>
    </r>
  </si>
  <si>
    <t>FISCAL YEAR 2023-24
CHARTER SCHOOL BUDGET REPORT</t>
  </si>
  <si>
    <t>Budget 
2023-24</t>
  </si>
  <si>
    <t>FISCAL YEAR 2023-2024
CHARTER SCHOOL BUDGET REPORT</t>
  </si>
  <si>
    <t>Account</t>
  </si>
  <si>
    <t>Revenue</t>
  </si>
  <si>
    <t>State and Local Revenue</t>
  </si>
  <si>
    <t>State and Local Revenue Total</t>
  </si>
  <si>
    <t>Federal Revenue</t>
  </si>
  <si>
    <t>Federal Revenue Total</t>
  </si>
  <si>
    <t>Revenue Total</t>
  </si>
  <si>
    <t>Expenses</t>
  </si>
  <si>
    <t>Salaries</t>
  </si>
  <si>
    <t>Salaries Total</t>
  </si>
  <si>
    <t>Benefits and Taxes</t>
  </si>
  <si>
    <t>Benefits and Taxes Total</t>
  </si>
  <si>
    <t>Purchased Professional &amp; Technical Services</t>
  </si>
  <si>
    <t>Purchased Professional &amp; Technical Services Total</t>
  </si>
  <si>
    <t>Purchased Property Services</t>
  </si>
  <si>
    <t>Purchased Property Services Total</t>
  </si>
  <si>
    <t>Other Purchased Services</t>
  </si>
  <si>
    <t>Other Purchased Services Total</t>
  </si>
  <si>
    <t>Supplies</t>
  </si>
  <si>
    <t>Supplies Total</t>
  </si>
  <si>
    <t>Miscellaneous</t>
  </si>
  <si>
    <t>Miscellaneous Total</t>
  </si>
  <si>
    <t>Expenses Total</t>
  </si>
  <si>
    <t>NET ORDINARY INCOME</t>
  </si>
  <si>
    <t>GF</t>
  </si>
  <si>
    <t>SR</t>
  </si>
  <si>
    <t>EEF</t>
  </si>
  <si>
    <t>Title I</t>
  </si>
  <si>
    <t>TOTAL</t>
  </si>
  <si>
    <t xml:space="preserve">      1994000 Local MFP</t>
  </si>
  <si>
    <t xml:space="preserve">      3110000 State MFP</t>
  </si>
  <si>
    <t xml:space="preserve">      3220000 Education Support Fund</t>
  </si>
  <si>
    <t xml:space="preserve">      4531000 IDEA, Part B</t>
  </si>
  <si>
    <t xml:space="preserve">      4532000 IDEA, PreK</t>
  </si>
  <si>
    <t>Gross Profit</t>
  </si>
  <si>
    <t xml:space="preserve">      1151210 Aides-Special Education</t>
  </si>
  <si>
    <t xml:space="preserve">      2600000 Workmens Comp</t>
  </si>
  <si>
    <t xml:space="preserve">      5402310 Advertising</t>
  </si>
  <si>
    <t xml:space="preserve">   6000000 Supplies</t>
  </si>
  <si>
    <t xml:space="preserve">   Total 6000000 Supplies</t>
  </si>
  <si>
    <t>Budget Line #</t>
  </si>
  <si>
    <t>Account #</t>
  </si>
  <si>
    <t xml:space="preserve">      4545000 Title II, Part A</t>
  </si>
  <si>
    <t xml:space="preserve">      4422400 Rental of Equip-School Admin</t>
  </si>
  <si>
    <t xml:space="preserve">      5222620 Property Insurance</t>
  </si>
  <si>
    <t>Title II</t>
  </si>
  <si>
    <t xml:space="preserve"> SY24-25</t>
  </si>
  <si>
    <t>1994000-1 · Local MFP</t>
  </si>
  <si>
    <t>1994000-2 · Local MFP</t>
  </si>
  <si>
    <t>3110000-1 · State MFP</t>
  </si>
  <si>
    <t>3110000-2 · State MFP</t>
  </si>
  <si>
    <t>3240000-1 · LA4</t>
  </si>
  <si>
    <t>3290000-1 · Other Restricted Revenues</t>
  </si>
  <si>
    <t>3290000-2 · Other Restricted Revenues</t>
  </si>
  <si>
    <t>4515000-1 · School Food Service</t>
  </si>
  <si>
    <t>4515000-2 · School Food Service</t>
  </si>
  <si>
    <t>4531000-1 · IDEA, Part B</t>
  </si>
  <si>
    <t>4531000-2 · IDEA, Part B</t>
  </si>
  <si>
    <t>4532000-1 · IDEA, PreK</t>
  </si>
  <si>
    <t>4532000-2 · IDEA, PreK</t>
  </si>
  <si>
    <t>4541000-1 · Title I Revenue</t>
  </si>
  <si>
    <t>4541000-2 · Title I Revenue</t>
  </si>
  <si>
    <t xml:space="preserve">4544000-1 · Title IV, Part A </t>
  </si>
  <si>
    <t xml:space="preserve">4544000-2 · Title IV, Part A </t>
  </si>
  <si>
    <t xml:space="preserve">4545000-1 · Title II, Part A </t>
  </si>
  <si>
    <t xml:space="preserve">4545000-2 · Title II, Part A </t>
  </si>
  <si>
    <t>4590000-1 · Other Federal Funds</t>
  </si>
  <si>
    <t>4590000-2 · Other Federal Funds</t>
  </si>
  <si>
    <t>Earned Fees</t>
  </si>
  <si>
    <t>1999000-1 · Other Miscellaneous Revenues</t>
  </si>
  <si>
    <t>1999000-2 · Other Miscellaneous Revenues</t>
  </si>
  <si>
    <t>Earned Fees Total</t>
  </si>
  <si>
    <t>1111110-1 · Salary Admin</t>
  </si>
  <si>
    <t>1111110-2 · Salary Admin</t>
  </si>
  <si>
    <t>1112220-1 · Instruction Dev Svcs Supervisors</t>
  </si>
  <si>
    <t>1112220-2 · Instruction Dev Svcs Supervisors</t>
  </si>
  <si>
    <t>1112400-1 · School Admin</t>
  </si>
  <si>
    <t>1112400-2 · School Admin</t>
  </si>
  <si>
    <t>1112410-1 · Principals</t>
  </si>
  <si>
    <t>1112410-2 · Principals</t>
  </si>
  <si>
    <t>1112430-1 · CEO</t>
  </si>
  <si>
    <t>1112430-2 · CEO</t>
  </si>
  <si>
    <t>1112490-1 · Other Admin</t>
  </si>
  <si>
    <t>1112490-2 · Other Admin</t>
  </si>
  <si>
    <t>1121110-1 · Elementary Teachers</t>
  </si>
  <si>
    <t>1121110-2 · Elementary Teachers</t>
  </si>
  <si>
    <t>1121210-1 · Special Education Teachers</t>
  </si>
  <si>
    <t>1121210-2 · Special Education Teachers</t>
  </si>
  <si>
    <t>1121520-1 · ELL Teacher</t>
  </si>
  <si>
    <t>1121590-1 · Pre K Teacher</t>
  </si>
  <si>
    <t>1132122-1 · Social Workers</t>
  </si>
  <si>
    <t>1132122-2 · Social Workers</t>
  </si>
  <si>
    <t>1142400-1 · Secretarial</t>
  </si>
  <si>
    <t>1142400-2 · Secretarial</t>
  </si>
  <si>
    <t>1151100-2 · Aides  Regular Programs</t>
  </si>
  <si>
    <t>1151210-1 · Aides  Special Education</t>
  </si>
  <si>
    <t>1151210-2 · Aides  Special Education</t>
  </si>
  <si>
    <t>1162620-2 · Custodial Staff</t>
  </si>
  <si>
    <t>1162620-3 · Custodial Staff</t>
  </si>
  <si>
    <t>1501100-1 · Instructional Stipend</t>
  </si>
  <si>
    <t>1502590-1 · Office Admin Stipend</t>
  </si>
  <si>
    <t>2102400-1 · Group Health Insurance School Admin</t>
  </si>
  <si>
    <t>2102400-2 · Group Health Insurance School Admin</t>
  </si>
  <si>
    <t>2201100-1 · FICA Contributions</t>
  </si>
  <si>
    <t>2201100-2 · FICA Contributions</t>
  </si>
  <si>
    <t>2251100-1 · Medicare Contributions</t>
  </si>
  <si>
    <t>2251100-2 · Medicare Contributions</t>
  </si>
  <si>
    <t>2391100-1 · Other Retirement Contributions</t>
  </si>
  <si>
    <t>2391100-2 · Other Retirement Contributions</t>
  </si>
  <si>
    <t>2501100-1 · Unemployment Compensation</t>
  </si>
  <si>
    <t>2501100-2 · Unemployment Compensation</t>
  </si>
  <si>
    <t>2601100-1 · Workmens Compensation</t>
  </si>
  <si>
    <t>2601100-2 · Workmens Compensation</t>
  </si>
  <si>
    <t>2901100-1 · Other Benefits</t>
  </si>
  <si>
    <t>2901100-2 · Other Benefits</t>
  </si>
  <si>
    <t>3001210-1 · Other Purch Tech SvcsSPED</t>
  </si>
  <si>
    <t>3001210-2 · Other Purch Tech SvcsSPED</t>
  </si>
  <si>
    <t>3002140-1 · Purchased Professional and Technical SPED Assessments</t>
  </si>
  <si>
    <t>3002140-2 · Purchased Professional and Technical SPED Assessments</t>
  </si>
  <si>
    <t>3002150-1 · Speech Svcs</t>
  </si>
  <si>
    <t>3002150-2 · Speech Svcs</t>
  </si>
  <si>
    <t>3002160-1 · Occupational Therapy</t>
  </si>
  <si>
    <t>3002160-2 · Occupational Therapy</t>
  </si>
  <si>
    <t>3002231-1 · Purchased Professional and Tech Serv PD</t>
  </si>
  <si>
    <t>3002231-2 · Purchased Professional and Tech Serv PD</t>
  </si>
  <si>
    <t>3002232-1 · Purchased Professional and Tech PD SPED</t>
  </si>
  <si>
    <t>3002232-2 · Purchased Professional and Tech PD SPED</t>
  </si>
  <si>
    <t>3002400-1 · School Admin Purch Tech Svcs</t>
  </si>
  <si>
    <t>3002400-2 · School Admin Purch Tech Svcs</t>
  </si>
  <si>
    <t>3002510-1 · Fiscal Svcs</t>
  </si>
  <si>
    <t>3002510-2 · Fiscal Svcs</t>
  </si>
  <si>
    <t>3002660-1 · Safety and Security Svcs</t>
  </si>
  <si>
    <t>3002660-2 · Safety and Security Svcs</t>
  </si>
  <si>
    <t>3002830-1 · Human Resource Svcs</t>
  </si>
  <si>
    <t>3002830-2 · Human Resource Svcs</t>
  </si>
  <si>
    <t>3322310-1 · Legal Svcs</t>
  </si>
  <si>
    <t>3322310-2 · Legal Svcs</t>
  </si>
  <si>
    <t>3332310-1 · Audit Svcs</t>
  </si>
  <si>
    <t>3332310-2 · Audit Svcs</t>
  </si>
  <si>
    <t>3352134-1 · Nursing Services</t>
  </si>
  <si>
    <t>3352134-2 · Nursing Services</t>
  </si>
  <si>
    <t>3402840-1 · Admin Tech Svcs</t>
  </si>
  <si>
    <t>3402840-2 · Admin Tech Svcs</t>
  </si>
  <si>
    <t>4002310-1 · Other Purchased Property Services</t>
  </si>
  <si>
    <t>4002310-2 · Other Purchased Property Services</t>
  </si>
  <si>
    <t>4002660-1 · Safety and Security Svcs</t>
  </si>
  <si>
    <t>4002660-2 · Safety and Security Svcs</t>
  </si>
  <si>
    <t>4112620-1 · Water and Sewage</t>
  </si>
  <si>
    <t>4112620-2 · Water and Sewage</t>
  </si>
  <si>
    <t>4212620-1 · Disposal Svcs</t>
  </si>
  <si>
    <t>4212620-2 · Disposal Svcs</t>
  </si>
  <si>
    <t>4242630-1 · Lawn Care</t>
  </si>
  <si>
    <t>4242630-2 · Lawn Care</t>
  </si>
  <si>
    <t>4302620-1 · Repairs and Maint Svcs</t>
  </si>
  <si>
    <t>4302620-2 · Repairs and Maint Svcs</t>
  </si>
  <si>
    <t>4422400-1 · Rental of EquipSchool Admin</t>
  </si>
  <si>
    <t>4422400-2 · Rental of EquipSchool Admin</t>
  </si>
  <si>
    <t>5001100-1 · Instructional Online Services</t>
  </si>
  <si>
    <t>5001100-2 · Instructional Online Services</t>
  </si>
  <si>
    <t>5002720-1 · Regular Transportation</t>
  </si>
  <si>
    <t>5002720-2 · Regular Transportation</t>
  </si>
  <si>
    <t>5212310-1 · Liability Insurance</t>
  </si>
  <si>
    <t>5212310-2 · Liability Insurance</t>
  </si>
  <si>
    <t>5222620-1 · Prop Ins</t>
  </si>
  <si>
    <t>5302400-1 · Communications</t>
  </si>
  <si>
    <t>5302400-2 · Communications</t>
  </si>
  <si>
    <t>5703100-1 · Food Svcs Operations</t>
  </si>
  <si>
    <t>5703100-2 · Food Svcs Operations</t>
  </si>
  <si>
    <t>5822220-1 · Travel-Instruction Dev Svcs</t>
  </si>
  <si>
    <t>5822220-2 · Travel-Instruction Dev Svcs</t>
  </si>
  <si>
    <t>5822400-1 · Other Purch Svcs-Travel-School Admin</t>
  </si>
  <si>
    <t>5822400-2 · Other Purch Svcs-Travel-School Admin</t>
  </si>
  <si>
    <t>6101100-1 · Regular Programs</t>
  </si>
  <si>
    <t>6101100-2 · Regular Programs</t>
  </si>
  <si>
    <t>6101210-1 · Special Education</t>
  </si>
  <si>
    <t>6101210-2 · Special Education</t>
  </si>
  <si>
    <t>6101420-1 · Athletics Supplies</t>
  </si>
  <si>
    <t>6101420-2 · Athletics Supplies</t>
  </si>
  <si>
    <t>6102211-1 · Supplies Improvement Instructional Staff</t>
  </si>
  <si>
    <t>6102211-2 · Supplies Improvement Instructional Staff</t>
  </si>
  <si>
    <t>6102400-1 · School Admin Suplies</t>
  </si>
  <si>
    <t>6102400-2 · School Admin Suplies</t>
  </si>
  <si>
    <t>6102620-1 · Operation and Maintenance of Buildings</t>
  </si>
  <si>
    <t>6102620-2 · Operation and Maintenance of Buildings</t>
  </si>
  <si>
    <t>6151100-1 · TechRegular Programs</t>
  </si>
  <si>
    <t>6151100-2 · TechRegular Programs</t>
  </si>
  <si>
    <t>6152400-1 · Tech-School Admin</t>
  </si>
  <si>
    <t>6152400-2 · Tech-School Admin</t>
  </si>
  <si>
    <t>6222620-1 · Electricity</t>
  </si>
  <si>
    <t>6222620-2 · Electricity</t>
  </si>
  <si>
    <t>6421100-1 · Textbooks and Workbooks</t>
  </si>
  <si>
    <t>6421100-2 · Textbooks and Workbooks</t>
  </si>
  <si>
    <t>8102400-1 · Dues and FeesSchool Admin</t>
  </si>
  <si>
    <t>8102400-2 · Dues and FeesSchool Admin</t>
  </si>
  <si>
    <t>ESSER II F</t>
  </si>
  <si>
    <t>ESSER II Inc</t>
  </si>
  <si>
    <t>ESSER III EB</t>
  </si>
  <si>
    <t>ESSER III F</t>
  </si>
  <si>
    <t>Food Service</t>
  </si>
  <si>
    <t>IDEA B</t>
  </si>
  <si>
    <t>IDEA PreK</t>
  </si>
  <si>
    <t>MFP CCS</t>
  </si>
  <si>
    <t>MFP DCA</t>
  </si>
  <si>
    <t>Smarter Safer School</t>
  </si>
  <si>
    <t>Title IV</t>
  </si>
  <si>
    <t>Income</t>
  </si>
  <si>
    <t xml:space="preserve">   1900 Other Rev From Local Sources</t>
  </si>
  <si>
    <t xml:space="preserve">      1999000 Other Misc Revenues-Other Miscellaneous Revenues</t>
  </si>
  <si>
    <t xml:space="preserve">   Total 1900 Other Rev From Local Sources</t>
  </si>
  <si>
    <t xml:space="preserve">   3000 Revenue From State Sources</t>
  </si>
  <si>
    <t xml:space="preserve">      3290000 Other Restricted Revenues</t>
  </si>
  <si>
    <t xml:space="preserve">   Total 3000 Revenue From State Sources</t>
  </si>
  <si>
    <t xml:space="preserve">   4000 Revenue From Federal Source</t>
  </si>
  <si>
    <t xml:space="preserve">      4515000 School Food Service</t>
  </si>
  <si>
    <t xml:space="preserve">      4541000 Title I, Part A</t>
  </si>
  <si>
    <t xml:space="preserve">      4544000 Title IV, Part A</t>
  </si>
  <si>
    <t xml:space="preserve">      4590000 Other Restricted Grants through the State</t>
  </si>
  <si>
    <t xml:space="preserve">   Total 4000 Revenue From Federal Source</t>
  </si>
  <si>
    <t>Total Income</t>
  </si>
  <si>
    <t xml:space="preserve">   1000000 Salaries - Regular Employee</t>
  </si>
  <si>
    <t xml:space="preserve">      1112190 Pupil Coordinator</t>
  </si>
  <si>
    <t xml:space="preserve">      1112400 Other School Administrators-School Admin</t>
  </si>
  <si>
    <t xml:space="preserve">      1112410 Principals-Office of the Principal Svcs</t>
  </si>
  <si>
    <t xml:space="preserve">      1112430 CEO-School Chief Executive Officer Svcs</t>
  </si>
  <si>
    <t xml:space="preserve">      1121110 Elementary Teachers-Elementary</t>
  </si>
  <si>
    <t xml:space="preserve">      1121210 Teachers-Special Education</t>
  </si>
  <si>
    <t xml:space="preserve">      1132122 Social Workers-Counseling Svcs</t>
  </si>
  <si>
    <t xml:space="preserve">      1132220 Curriculum Specialist</t>
  </si>
  <si>
    <t xml:space="preserve">      1142400 Secretarial-School Admin</t>
  </si>
  <si>
    <t xml:space="preserve">      1162620 Custodial / Maintenance</t>
  </si>
  <si>
    <t xml:space="preserve">   Total 1000000 Salaries - Regular Employee</t>
  </si>
  <si>
    <t xml:space="preserve">   2000000 Benefits</t>
  </si>
  <si>
    <t xml:space="preserve">      2100000 Group Insurance</t>
  </si>
  <si>
    <t xml:space="preserve">         2101100 Group Ins - Instructional</t>
  </si>
  <si>
    <t xml:space="preserve">         2101210 Group Ins - Special Education</t>
  </si>
  <si>
    <t xml:space="preserve">         2102120 Group Ins - Pupil Support Svcs</t>
  </si>
  <si>
    <t xml:space="preserve">         2102190 Group Ins - Pupil Coordinator</t>
  </si>
  <si>
    <t xml:space="preserve">         2102220 Group Ins - Instruction Dev Svcs</t>
  </si>
  <si>
    <t xml:space="preserve">         2102400 Group Ins - School Admin</t>
  </si>
  <si>
    <t xml:space="preserve">         2102690 Group Ins - Maintenance and Ops</t>
  </si>
  <si>
    <t xml:space="preserve">      Total 2100000 Group Insurance</t>
  </si>
  <si>
    <t xml:space="preserve">      220000 Social Security</t>
  </si>
  <si>
    <t xml:space="preserve">         2201100 SS - Instructional</t>
  </si>
  <si>
    <t xml:space="preserve">         2201210 SS - Special Education</t>
  </si>
  <si>
    <t xml:space="preserve">         2202120 SS - Pupil Support Svcs</t>
  </si>
  <si>
    <t xml:space="preserve">         2202190 SS - Pupil Coordinator</t>
  </si>
  <si>
    <t xml:space="preserve">         2202220 SS - Instruction Dev Svcs</t>
  </si>
  <si>
    <t xml:space="preserve">         2202400 SS - School Admin</t>
  </si>
  <si>
    <t xml:space="preserve">         2202690 SS - Maintenance and Ops</t>
  </si>
  <si>
    <t xml:space="preserve">      Total 220000 Social Security</t>
  </si>
  <si>
    <t xml:space="preserve">      2250000 Medicare</t>
  </si>
  <si>
    <t xml:space="preserve">         2251100 Medicare - Instructional</t>
  </si>
  <si>
    <t xml:space="preserve">         2251210 Medicare - Special Education</t>
  </si>
  <si>
    <t xml:space="preserve">         2252120 Medicare - Pupil Support Svcs</t>
  </si>
  <si>
    <t xml:space="preserve">         2252190 Medicare - Pupil Coordinator</t>
  </si>
  <si>
    <t xml:space="preserve">         2252220 Medicare - Instruction Dev Svcs</t>
  </si>
  <si>
    <t xml:space="preserve">         2252400 Medicare - School Admin</t>
  </si>
  <si>
    <t xml:space="preserve">         2252690 Medicare - Maintenance</t>
  </si>
  <si>
    <t xml:space="preserve">      Total 2250000 Medicare</t>
  </si>
  <si>
    <t xml:space="preserve">      2390000 Other Retirement</t>
  </si>
  <si>
    <t xml:space="preserve">         2391100 Other Retirement - Instructional</t>
  </si>
  <si>
    <t xml:space="preserve">         2392120 Other Retirement - Pupil Support Svcs</t>
  </si>
  <si>
    <t xml:space="preserve">         2392220 Other Retirement - Instruction Dev Svcs</t>
  </si>
  <si>
    <t xml:space="preserve">         2392400 Other Retirement - School Admin</t>
  </si>
  <si>
    <t xml:space="preserve">      Total 2390000 Other Retirement</t>
  </si>
  <si>
    <t xml:space="preserve">      2500000 SUI</t>
  </si>
  <si>
    <t xml:space="preserve">         2501100 SUI - Instructional</t>
  </si>
  <si>
    <t xml:space="preserve">         2501210 SUI - Special Education</t>
  </si>
  <si>
    <t xml:space="preserve">         2502120 SUI - Pupil Support Svcs</t>
  </si>
  <si>
    <t xml:space="preserve">         2502190 SUI - Pupil Coordinator</t>
  </si>
  <si>
    <t xml:space="preserve">         2502220 SUI - Instruction Dev Svcs</t>
  </si>
  <si>
    <t xml:space="preserve">         2502400 SUI - School Admin</t>
  </si>
  <si>
    <t xml:space="preserve">         2502690 SUI - Maintenance and Ops</t>
  </si>
  <si>
    <t xml:space="preserve">      Total 2500000 SUI</t>
  </si>
  <si>
    <t xml:space="preserve">         2601100 Workmens Comp - Instructional</t>
  </si>
  <si>
    <t xml:space="preserve">      Total 2600000 Workmens Comp</t>
  </si>
  <si>
    <t xml:space="preserve">      2900000 Other Benefits</t>
  </si>
  <si>
    <t xml:space="preserve">         2901100 Other Benefits - Instructional</t>
  </si>
  <si>
    <t xml:space="preserve">      Total 2900000 Other Benefits</t>
  </si>
  <si>
    <t xml:space="preserve">   Total 2000000 Benefits</t>
  </si>
  <si>
    <t xml:space="preserve">   3000000 Professional Services</t>
  </si>
  <si>
    <t xml:space="preserve">      3001210 SPED</t>
  </si>
  <si>
    <t xml:space="preserve">      3002140 SPED Assessments</t>
  </si>
  <si>
    <t xml:space="preserve">      3002231 Professional Development</t>
  </si>
  <si>
    <t xml:space="preserve">      3002232 PD SPED</t>
  </si>
  <si>
    <t xml:space="preserve">      3002400 Profession Services other School Admin</t>
  </si>
  <si>
    <t xml:space="preserve">      3002510 Fiscal Services</t>
  </si>
  <si>
    <t xml:space="preserve">      3002660 Safety and Security</t>
  </si>
  <si>
    <t xml:space="preserve">      3002830 Human Resource Svcs</t>
  </si>
  <si>
    <t xml:space="preserve">      3322310 Legal Fees Board of Education Svcs</t>
  </si>
  <si>
    <t xml:space="preserve">      3332310 Audit Expenses</t>
  </si>
  <si>
    <t xml:space="preserve">      3392830 Purch Prof and Tech Svcs-Background Checks-Human Resource Svcs</t>
  </si>
  <si>
    <t xml:space="preserve">      3402510 Fiscal Svcs</t>
  </si>
  <si>
    <t xml:space="preserve">      3402840 Tech Services</t>
  </si>
  <si>
    <t xml:space="preserve">   Total 3000000 Professional Services</t>
  </si>
  <si>
    <t xml:space="preserve">   4000000 Purchased Property Service</t>
  </si>
  <si>
    <t xml:space="preserve">      4002310 Other Purchased Property Services</t>
  </si>
  <si>
    <t xml:space="preserve">      4002660 Purch Prop Svcs - Security Systems</t>
  </si>
  <si>
    <t xml:space="preserve">      4112620 Water and Sewage-Operation and Maintenance of Buildings</t>
  </si>
  <si>
    <t xml:space="preserve">      4212620 Disposal Svcs-Operation and Maintenance of Buildings</t>
  </si>
  <si>
    <t xml:space="preserve">      4232620 Custodial Svcs-Operation and Maintenance of Buildings</t>
  </si>
  <si>
    <t xml:space="preserve">      4242630 Lawn Care-Care and Upkeep of Grounds</t>
  </si>
  <si>
    <t xml:space="preserve">      4302620 Repairs and Maint Svcs-Operation and Maintenance of Buildings</t>
  </si>
  <si>
    <t xml:space="preserve">      4303100 Food Service Repairs and Main</t>
  </si>
  <si>
    <t xml:space="preserve">      4412620 Renting Land and Bldgs-Operation and Maintenance of Buildings</t>
  </si>
  <si>
    <t xml:space="preserve">   Total 4000000 Purchased Property Service</t>
  </si>
  <si>
    <t xml:space="preserve">   5000000 Other Purchased Services</t>
  </si>
  <si>
    <t xml:space="preserve">      5002720 Transportation</t>
  </si>
  <si>
    <t xml:space="preserve">      5212310 Liability and Other Insurance</t>
  </si>
  <si>
    <t xml:space="preserve">      5301100 Communication</t>
  </si>
  <si>
    <t xml:space="preserve">      5302400 Communications-School Admin</t>
  </si>
  <si>
    <t xml:space="preserve">      5703100 Mgmt-Food Svcs Operations</t>
  </si>
  <si>
    <t xml:space="preserve">      5822400 Other Purch Svcs-Travel-School Admin</t>
  </si>
  <si>
    <t xml:space="preserve">   Total 5000000 Other Purchased Services</t>
  </si>
  <si>
    <t xml:space="preserve">      6101100 Instructional Supplies</t>
  </si>
  <si>
    <t xml:space="preserve">      6101210 Special Education</t>
  </si>
  <si>
    <t xml:space="preserve">      6102211 Improvement Instructional Staff</t>
  </si>
  <si>
    <t xml:space="preserve">      6102400 Supplies--School Admin</t>
  </si>
  <si>
    <t xml:space="preserve">      6102620 Operation and Maintenance of Buildings</t>
  </si>
  <si>
    <t xml:space="preserve">      6151100 Tech-Regular Programs</t>
  </si>
  <si>
    <t xml:space="preserve">      6152400 Tech-School Admin</t>
  </si>
  <si>
    <t xml:space="preserve">      6222620 Electricity-Operation and Maintenance of Buildings</t>
  </si>
  <si>
    <t xml:space="preserve">      6421100 Textbooks / Workbooks</t>
  </si>
  <si>
    <t xml:space="preserve">   8000000 Other Objects</t>
  </si>
  <si>
    <t xml:space="preserve">      8002400 Misc--School Admin</t>
  </si>
  <si>
    <t xml:space="preserve">      8102400 Misc-Dues and Fees-School Admin</t>
  </si>
  <si>
    <t xml:space="preserve">   Total 8000000 Other Objects</t>
  </si>
  <si>
    <t xml:space="preserve">   9000000 Other Use of Funds</t>
  </si>
  <si>
    <t xml:space="preserve">      9335200 Indirect Cost</t>
  </si>
  <si>
    <t xml:space="preserve">   Total 9000000 Other Use of Funds</t>
  </si>
  <si>
    <t>Total Expenses</t>
  </si>
  <si>
    <t>Net Operating Income</t>
  </si>
  <si>
    <t>Net Income</t>
  </si>
  <si>
    <t>SR Fund Balancing</t>
  </si>
  <si>
    <t>Entity Level</t>
  </si>
  <si>
    <t>Report Check</t>
  </si>
  <si>
    <t>Actual
2023-24</t>
  </si>
  <si>
    <t>Budget 
2024-25</t>
  </si>
  <si>
    <t>Actual 2023-24</t>
  </si>
  <si>
    <t>Budget 2024-25</t>
  </si>
  <si>
    <t>FISCAL YEAR 2024-2025
Annual Budget</t>
  </si>
  <si>
    <t>Lanier</t>
  </si>
  <si>
    <t>CLSD</t>
  </si>
  <si>
    <t>Redesign</t>
  </si>
  <si>
    <t>Total Lanier</t>
  </si>
  <si>
    <t xml:space="preserve">      3210000 Restricted Special Education Grants</t>
  </si>
  <si>
    <t xml:space="preserve">      3240000 LA4</t>
  </si>
  <si>
    <t xml:space="preserve">      1121105 Kinder Teachers-Kindergarten</t>
  </si>
  <si>
    <t xml:space="preserve">      1121530 Pre K Teacher</t>
  </si>
  <si>
    <t xml:space="preserve">      1151100 Aides-Regular Programs</t>
  </si>
  <si>
    <t xml:space="preserve">         2101530 Group Ins - PreK</t>
  </si>
  <si>
    <t xml:space="preserve">         2201530 SS - PreK</t>
  </si>
  <si>
    <t xml:space="preserve">         2251530 Medicare - PreK</t>
  </si>
  <si>
    <t xml:space="preserve">         2501530 SUI - PreK</t>
  </si>
  <si>
    <t xml:space="preserve">      3002150 Speech Pathology and Audiology</t>
  </si>
  <si>
    <t xml:space="preserve">      4422620 Rental of Equip-Operation and Maintenance of Buildings</t>
  </si>
  <si>
    <t xml:space="preserve">      5821100 Travel-Regular Programs</t>
  </si>
  <si>
    <t>Redesign Lanier</t>
  </si>
  <si>
    <t>Other State Funds</t>
  </si>
  <si>
    <t>Form A Mapping</t>
  </si>
  <si>
    <t>Expense Function Pull</t>
  </si>
  <si>
    <t>2400</t>
  </si>
  <si>
    <t>1100</t>
  </si>
  <si>
    <t>3100</t>
  </si>
  <si>
    <t>Expense Function</t>
  </si>
  <si>
    <t/>
  </si>
  <si>
    <t>5200</t>
  </si>
  <si>
    <t>REFERENCE TABLE - EXPENDITURES</t>
  </si>
  <si>
    <t>Form A Mapping For Budget Columns</t>
  </si>
  <si>
    <t>General Fund</t>
  </si>
  <si>
    <t>Special Revenue Fund</t>
  </si>
  <si>
    <t>Form A Line</t>
  </si>
  <si>
    <t>afr code</t>
  </si>
  <si>
    <t xml:space="preserve">Function Rollup </t>
  </si>
  <si>
    <t>Total Salaries GF</t>
  </si>
  <si>
    <t>% of Total Salaries</t>
  </si>
  <si>
    <t>Total Salaries SR</t>
  </si>
  <si>
    <t>Benefits GF</t>
  </si>
  <si>
    <t>Benefits SR</t>
  </si>
  <si>
    <t>Salaries &amp; Benefits Total GF</t>
  </si>
  <si>
    <t>Salaries &amp; Benefits Total SR</t>
  </si>
  <si>
    <t>Budgeted
2024-2025</t>
  </si>
  <si>
    <t>SemiAnnual YTD (Q1 and Q2)
2024-25</t>
  </si>
  <si>
    <t>SemiAnnual YTD (Q3 and Q4)
2024-25</t>
  </si>
  <si>
    <t>0015900</t>
  </si>
  <si>
    <t>2004-2005</t>
  </si>
  <si>
    <t>0016800</t>
  </si>
  <si>
    <t>0017330</t>
  </si>
  <si>
    <t>0020850</t>
  </si>
  <si>
    <t>0022600</t>
  </si>
  <si>
    <t>0023050</t>
  </si>
  <si>
    <t>0028400</t>
  </si>
  <si>
    <t>0036800</t>
  </si>
  <si>
    <t>0038400</t>
  </si>
  <si>
    <t>0039500</t>
  </si>
  <si>
    <t>0041600</t>
  </si>
  <si>
    <t>0043100</t>
  </si>
  <si>
    <t>0044900</t>
  </si>
  <si>
    <t>0047000</t>
  </si>
  <si>
    <t>0048800</t>
  </si>
  <si>
    <t>0048995</t>
  </si>
  <si>
    <t>0049200</t>
  </si>
  <si>
    <t>0049960</t>
  </si>
  <si>
    <t>0050850</t>
  </si>
  <si>
    <t>0051180</t>
  </si>
  <si>
    <t>Check</t>
  </si>
  <si>
    <t>Total Expenditures</t>
  </si>
  <si>
    <t>Check From Annual Budget tab</t>
  </si>
  <si>
    <t>Total Revenue</t>
  </si>
  <si>
    <t>ANNUAL GENERAL FUND BUDGET - Form A</t>
  </si>
  <si>
    <t>FISCAL YEAR 2024-2025</t>
  </si>
  <si>
    <t>School District:</t>
  </si>
  <si>
    <t>Includes Special Fund Federal,</t>
  </si>
  <si>
    <t>Enter &gt;&gt;&gt;</t>
  </si>
  <si>
    <t>Federal ESSA and Other Special Funds</t>
  </si>
  <si>
    <t>GENERAL FUND BUDGET</t>
  </si>
  <si>
    <t>SPECIAL REVENUE FUNDS</t>
  </si>
  <si>
    <t>ITEM</t>
  </si>
  <si>
    <t>L.A.U.G.H.</t>
  </si>
  <si>
    <t xml:space="preserve"> AFR</t>
  </si>
  <si>
    <t>Source/Function</t>
  </si>
  <si>
    <t>Keypunch</t>
  </si>
  <si>
    <t>Code</t>
  </si>
  <si>
    <t>Revenues from Local Sources</t>
  </si>
  <si>
    <t>1000</t>
  </si>
  <si>
    <t>0004000</t>
  </si>
  <si>
    <t>Revenues from State Sources (Other than MFP)</t>
  </si>
  <si>
    <t>3000</t>
  </si>
  <si>
    <t>0008300</t>
  </si>
  <si>
    <t>Revenues from MFP (Exclude School Lunch)</t>
  </si>
  <si>
    <t>0004300</t>
  </si>
  <si>
    <t>Revenues from MFP (School Lunch Fund)</t>
  </si>
  <si>
    <t>0004450</t>
  </si>
  <si>
    <t>Revenues from Federal Sources</t>
  </si>
  <si>
    <t>4000</t>
  </si>
  <si>
    <t>0014900</t>
  </si>
  <si>
    <t>Total Revenues</t>
  </si>
  <si>
    <t>0015000</t>
  </si>
  <si>
    <t>Other Sources of Funds</t>
  </si>
  <si>
    <t>5000</t>
  </si>
  <si>
    <t>0051000</t>
  </si>
  <si>
    <t>TOTAL REVENUES AND OTHER SOURCES OF FUNDS</t>
  </si>
  <si>
    <t>none</t>
  </si>
  <si>
    <t>Instruction:</t>
  </si>
  <si>
    <t>Regular Programs - Elementary/Secondary</t>
  </si>
  <si>
    <t>Special Education Programs</t>
  </si>
  <si>
    <t>1200</t>
  </si>
  <si>
    <t>Career and Technical Educational Programs</t>
  </si>
  <si>
    <t>1300</t>
  </si>
  <si>
    <t>Other Instructional Programs - Elementary/Secondary</t>
  </si>
  <si>
    <t>1400</t>
  </si>
  <si>
    <t>Special Programs</t>
  </si>
  <si>
    <t>1500</t>
  </si>
  <si>
    <t>Adult/Continuing Education Programs</t>
  </si>
  <si>
    <t>1600</t>
  </si>
  <si>
    <t>Total Instruction</t>
  </si>
  <si>
    <t>0024190</t>
  </si>
  <si>
    <t>Support Services Programs:</t>
  </si>
  <si>
    <t>Pupil Support Services</t>
  </si>
  <si>
    <t>2100</t>
  </si>
  <si>
    <t>Instructional Staff Services</t>
  </si>
  <si>
    <t>2200</t>
  </si>
  <si>
    <t>General Administration</t>
  </si>
  <si>
    <t>2300</t>
  </si>
  <si>
    <t>School Administration</t>
  </si>
  <si>
    <t>Business Services</t>
  </si>
  <si>
    <t>2500</t>
  </si>
  <si>
    <t>Operation &amp; Maintenance of Plant Services</t>
  </si>
  <si>
    <t>2600</t>
  </si>
  <si>
    <t>Student Transportation Services</t>
  </si>
  <si>
    <t>2700</t>
  </si>
  <si>
    <t>Central Services</t>
  </si>
  <si>
    <t>2800</t>
  </si>
  <si>
    <t>Total Support Services</t>
  </si>
  <si>
    <t>0047900</t>
  </si>
  <si>
    <t>Operation of Non-Instructional Services:</t>
  </si>
  <si>
    <t>Food Service Operations</t>
  </si>
  <si>
    <t>Enterprise Operations</t>
  </si>
  <si>
    <t>3200</t>
  </si>
  <si>
    <t>Community Service Operations</t>
  </si>
  <si>
    <t>3300</t>
  </si>
  <si>
    <t>Total Operation of Non-Instructional Services</t>
  </si>
  <si>
    <t>0049250</t>
  </si>
  <si>
    <t>Facility Acquisition &amp; Construction Services</t>
  </si>
  <si>
    <t>Debt Services</t>
  </si>
  <si>
    <t>5100</t>
  </si>
  <si>
    <t>0050900</t>
  </si>
  <si>
    <t>Other Uses of Funds</t>
  </si>
  <si>
    <t>TOTAL EXPENDITURES AND OTHER USES OF FUNDS</t>
  </si>
  <si>
    <t>Excess (Deficiency) of Revenues and Other Sources</t>
  </si>
  <si>
    <t xml:space="preserve">Over Expenditures and Other Uses  </t>
  </si>
  <si>
    <t>auto-calculated</t>
  </si>
  <si>
    <t>0051190</t>
  </si>
  <si>
    <t>Residual Equity Transfer In</t>
  </si>
  <si>
    <t>0051192</t>
  </si>
  <si>
    <t>Residual Equity Transfer Out**</t>
  </si>
  <si>
    <t>0051193</t>
  </si>
  <si>
    <t>Prior Year Adjustment</t>
  </si>
  <si>
    <t>0051194</t>
  </si>
  <si>
    <t>Balances at Beginning of Year</t>
  </si>
  <si>
    <t>0051195</t>
  </si>
  <si>
    <t xml:space="preserve">Balances at End of Year       </t>
  </si>
  <si>
    <t>0051196</t>
  </si>
  <si>
    <t>** Enter a negative number for Transfers Out</t>
  </si>
  <si>
    <t>Totals (exc Benefits) 
General Fund</t>
  </si>
  <si>
    <t>Totals (exc Benefits) 
Special Revenue</t>
  </si>
  <si>
    <t>MAPPING</t>
  </si>
  <si>
    <t>2012-2013 Annual Financial Report (AFR) With Formulas</t>
  </si>
  <si>
    <t>KEY PUNCH CODE</t>
  </si>
  <si>
    <t xml:space="preserve">OBJECT </t>
  </si>
  <si>
    <t>FUNCTION</t>
  </si>
  <si>
    <t>LDOE QFR Budget Line</t>
  </si>
  <si>
    <t>NOLA PS QFR Budget Line</t>
  </si>
  <si>
    <t>NOLAPS Cash Flow</t>
  </si>
  <si>
    <t>Form A</t>
  </si>
  <si>
    <t>MOE Impact</t>
  </si>
  <si>
    <t>Millage Report</t>
  </si>
  <si>
    <t>Intructional %</t>
  </si>
  <si>
    <t>ACT 370 Function</t>
  </si>
  <si>
    <t>Act 370 Object</t>
  </si>
  <si>
    <t>SECTION A. REVENUES</t>
  </si>
  <si>
    <t>I.</t>
  </si>
  <si>
    <t>Taxation</t>
  </si>
  <si>
    <t>a.</t>
  </si>
  <si>
    <t>Ad Valorem Taxes - Gross</t>
  </si>
  <si>
    <t>(1) Constitutional Tax</t>
  </si>
  <si>
    <t>0000300</t>
  </si>
  <si>
    <t>(2) Renewable Taxes</t>
  </si>
  <si>
    <t>0000350</t>
  </si>
  <si>
    <t>(3) Debt Service Taxes</t>
  </si>
  <si>
    <t>0000400</t>
  </si>
  <si>
    <t>(4) Up to 1% Collections by Sheriff on</t>
  </si>
  <si>
    <t>Taxes Other than School Taxes</t>
  </si>
  <si>
    <t>0000450</t>
  </si>
  <si>
    <t>(5) Result of Court-Ordered Settlement</t>
  </si>
  <si>
    <t>0000500</t>
  </si>
  <si>
    <t>(6) Penalties/Interest on Property Taxes</t>
  </si>
  <si>
    <t>0000550</t>
  </si>
  <si>
    <t>(7) Taxes Collected Due to</t>
  </si>
  <si>
    <t>Tax Incremental Financing (TIF)</t>
  </si>
  <si>
    <t>0000650</t>
  </si>
  <si>
    <t>b.</t>
  </si>
  <si>
    <t>Sales and Use Taxes</t>
  </si>
  <si>
    <t>(1) Sales and Use Taxes</t>
  </si>
  <si>
    <t>0000750</t>
  </si>
  <si>
    <t>(2) Sales/Use Taxes - Court Settlement</t>
  </si>
  <si>
    <t>0000800</t>
  </si>
  <si>
    <t>(3) Penalties/Interest on Sales/Use Taxes</t>
  </si>
  <si>
    <t>0000850</t>
  </si>
  <si>
    <t>(4) Sales/Use Taxes Collected Due to</t>
  </si>
  <si>
    <t>0000900</t>
  </si>
  <si>
    <t>Revenue From Local Governmental</t>
  </si>
  <si>
    <t>Units Other Than LEA's</t>
  </si>
  <si>
    <t>0001000</t>
  </si>
  <si>
    <t>Tuition</t>
  </si>
  <si>
    <t>From Individuals</t>
  </si>
  <si>
    <t>(1) Excluding Summer School</t>
  </si>
  <si>
    <t>0001150</t>
  </si>
  <si>
    <t>(2) For Summer School</t>
  </si>
  <si>
    <t>0001200</t>
  </si>
  <si>
    <t>From Other LEA's</t>
  </si>
  <si>
    <t>(1) Within The State</t>
  </si>
  <si>
    <t>0001300</t>
  </si>
  <si>
    <t>(2) Outside The State</t>
  </si>
  <si>
    <t>0001350</t>
  </si>
  <si>
    <t>c.</t>
  </si>
  <si>
    <t>From Other Government Sources</t>
  </si>
  <si>
    <t>0001450</t>
  </si>
  <si>
    <t>0001500</t>
  </si>
  <si>
    <t>d.</t>
  </si>
  <si>
    <t>From Other Sources</t>
  </si>
  <si>
    <t>0001550</t>
  </si>
  <si>
    <t>Transportation Fees</t>
  </si>
  <si>
    <t>0001650</t>
  </si>
  <si>
    <t>From Other LEA's/Charter Schools</t>
  </si>
  <si>
    <t>0001750</t>
  </si>
  <si>
    <t>0001800</t>
  </si>
  <si>
    <t>0001900</t>
  </si>
  <si>
    <t>0001950</t>
  </si>
  <si>
    <t>0002000</t>
  </si>
  <si>
    <t>Interest on Investments</t>
  </si>
  <si>
    <t>0002100</t>
  </si>
  <si>
    <t>Net Change in Fair Value of Investments</t>
  </si>
  <si>
    <t>0002150</t>
  </si>
  <si>
    <t>Earnings on Investment in Real Property</t>
  </si>
  <si>
    <t>(1) Earnings from 16th Section Property</t>
  </si>
  <si>
    <t>0002250</t>
  </si>
  <si>
    <t>(2) Earnings from Other Real Property</t>
  </si>
  <si>
    <t>0002300</t>
  </si>
  <si>
    <t>Income from Meals</t>
  </si>
  <si>
    <t>0002400</t>
  </si>
  <si>
    <t>Income from Extra Sales</t>
  </si>
  <si>
    <t>0002450</t>
  </si>
  <si>
    <t>Revenue From District Activities</t>
  </si>
  <si>
    <t>Revenue From Enterprise Activities</t>
  </si>
  <si>
    <t>0002550</t>
  </si>
  <si>
    <t>Revenue from Student Activities</t>
  </si>
  <si>
    <t>0002560</t>
  </si>
  <si>
    <t>Revenue Excluding Enterprise Activities</t>
  </si>
  <si>
    <t>0002600</t>
  </si>
  <si>
    <t>Revenue From Community Service Activities</t>
  </si>
  <si>
    <t>0002650</t>
  </si>
  <si>
    <t>Other Revenue From Local Sources</t>
  </si>
  <si>
    <t>Rentals</t>
  </si>
  <si>
    <t>0002750</t>
  </si>
  <si>
    <t>0002800</t>
  </si>
  <si>
    <t>Restricted Donations</t>
  </si>
  <si>
    <t xml:space="preserve">MANUAL ED OPS </t>
  </si>
  <si>
    <t>Unrestricted donations</t>
  </si>
  <si>
    <t>Fundraising Events</t>
  </si>
  <si>
    <t>Gains/Losses on Sale of Capital Assets</t>
  </si>
  <si>
    <t>0002850</t>
  </si>
  <si>
    <t>Revenues from Judgements / Court Orders</t>
  </si>
  <si>
    <t>0002900</t>
  </si>
  <si>
    <t>e.</t>
  </si>
  <si>
    <t>Textbook Sales and Rentals</t>
  </si>
  <si>
    <t>0002950</t>
  </si>
  <si>
    <t>f.</t>
  </si>
  <si>
    <t>Misc. Revenue from Other LEAs</t>
  </si>
  <si>
    <t>0003000</t>
  </si>
  <si>
    <t>g.</t>
  </si>
  <si>
    <t>Services Provided Other Local Government</t>
  </si>
  <si>
    <t>0003050</t>
  </si>
  <si>
    <t>h.</t>
  </si>
  <si>
    <t>Misc. Revenue from Local Governments</t>
  </si>
  <si>
    <t>0003100</t>
  </si>
  <si>
    <t>i.</t>
  </si>
  <si>
    <t>Miscellaneous Revenues</t>
  </si>
  <si>
    <t>(1) Medicaid Reimbursement</t>
  </si>
  <si>
    <t>0003200</t>
  </si>
  <si>
    <t>(2) Kid Med</t>
  </si>
  <si>
    <t>0003250</t>
  </si>
  <si>
    <t>(3) Refund Of PY Expend. (E-Rate, etc.)</t>
  </si>
  <si>
    <t>0003300</t>
  </si>
  <si>
    <t>(4) Local Revenue Trans. From Other LEA</t>
  </si>
  <si>
    <t>0003350</t>
  </si>
  <si>
    <t>(5) Other Miscellaneous Revenues</t>
  </si>
  <si>
    <t>0003400</t>
  </si>
  <si>
    <t>Uncategorized Revenue</t>
  </si>
  <si>
    <t>Other Income</t>
  </si>
  <si>
    <t>MANUAL ED OPS - EQA</t>
  </si>
  <si>
    <t>NOLA PS Student Needs Fund</t>
  </si>
  <si>
    <t>Expulsion Fee Revenue</t>
  </si>
  <si>
    <t>TOTAL I. REVENUES FROM LOCAL SOURCES</t>
  </si>
  <si>
    <t>II.</t>
  </si>
  <si>
    <t>State Unrestricted Grants-In-Aid</t>
  </si>
  <si>
    <t>State Public School Fund (MFP)-exc. Sch. Lunch</t>
  </si>
  <si>
    <t>State Public School Fund (MFP) - Sch. Lunch</t>
  </si>
  <si>
    <t>16th Section Land Fund Interest</t>
  </si>
  <si>
    <t>0004600</t>
  </si>
  <si>
    <t>0004750</t>
  </si>
  <si>
    <t>State Restricted Grants-In-Aid</t>
  </si>
  <si>
    <t>Special Education (excluding MFP)</t>
  </si>
  <si>
    <t>0005050</t>
  </si>
  <si>
    <t>0005200</t>
  </si>
  <si>
    <t>16th Section Land Funds (Withdrawals)</t>
  </si>
  <si>
    <t>0005350</t>
  </si>
  <si>
    <t>Adult Education</t>
  </si>
  <si>
    <t>0005500</t>
  </si>
  <si>
    <t>0005650</t>
  </si>
  <si>
    <t>LA-4</t>
  </si>
  <si>
    <t>0005800</t>
  </si>
  <si>
    <t>Non-Public Transportation</t>
  </si>
  <si>
    <t>0005950</t>
  </si>
  <si>
    <t>Non-Public Textbook</t>
  </si>
  <si>
    <t>0006100</t>
  </si>
  <si>
    <t>Other Restricted Revenues</t>
  </si>
  <si>
    <t>0006250</t>
  </si>
  <si>
    <t>State Revenue in Lieu of Taxes</t>
  </si>
  <si>
    <t>Revenue Sharing</t>
  </si>
  <si>
    <t>0006700</t>
  </si>
  <si>
    <t>(2) Other Taxes</t>
  </si>
  <si>
    <t>0006850</t>
  </si>
  <si>
    <t>(3) Excess Portion</t>
  </si>
  <si>
    <t>0007000</t>
  </si>
  <si>
    <t>Other Revenue in Lieu of Taxes</t>
  </si>
  <si>
    <t>0007150</t>
  </si>
  <si>
    <t>State Revenue For/On Behalf of LEA</t>
  </si>
  <si>
    <t>Employer's Contribution to Teachers</t>
  </si>
  <si>
    <t>Retirement (PIP)</t>
  </si>
  <si>
    <t>0007600</t>
  </si>
  <si>
    <t>Other Revenue For/On Behalf of LEA</t>
  </si>
  <si>
    <t>0007750</t>
  </si>
  <si>
    <t>TOTAL II. REVENUE FROM STATE SOURCES</t>
  </si>
  <si>
    <t>III.</t>
  </si>
  <si>
    <t>Federal Unrestricted Grants-In-Aid Direct</t>
  </si>
  <si>
    <t>From the Federal Government</t>
  </si>
  <si>
    <t>Impact Aid Fund</t>
  </si>
  <si>
    <t>0008600</t>
  </si>
  <si>
    <t>0008700</t>
  </si>
  <si>
    <t>Federal Unrestricted Grants-In Aid From The</t>
  </si>
  <si>
    <t>Federal Government Through the State</t>
  </si>
  <si>
    <t>0008900</t>
  </si>
  <si>
    <t>Federal Restricted Grants-In-Aid Direct</t>
  </si>
  <si>
    <t>Federally Affected Areas</t>
  </si>
  <si>
    <t>0009200</t>
  </si>
  <si>
    <t>JROTC</t>
  </si>
  <si>
    <t>0009300</t>
  </si>
  <si>
    <t>Headstart Program</t>
  </si>
  <si>
    <t>0009400</t>
  </si>
  <si>
    <t>0009500</t>
  </si>
  <si>
    <t>Federal Restricted Grants-In-Aid From The</t>
  </si>
  <si>
    <t>Carl Perkins - Secondary</t>
  </si>
  <si>
    <t>0009800</t>
  </si>
  <si>
    <t>0009900</t>
  </si>
  <si>
    <t>Adult Basic Education</t>
  </si>
  <si>
    <t>0010000</t>
  </si>
  <si>
    <t>(1) IDEA - Part B 611</t>
  </si>
  <si>
    <t>0010200</t>
  </si>
  <si>
    <t>(2) IDEA - Preschool 619</t>
  </si>
  <si>
    <t>0010300</t>
  </si>
  <si>
    <t>(3) Part C - Infant/Toddler</t>
  </si>
  <si>
    <t>0010400</t>
  </si>
  <si>
    <t>(4) Other Special Education Programs</t>
  </si>
  <si>
    <t>0010500</t>
  </si>
  <si>
    <t>Federal Every Student Succeeds Act (ESSA)</t>
  </si>
  <si>
    <t>(1) ESSA/NCLB - Title I, Part A, Improving Basic Programs</t>
  </si>
  <si>
    <t>0010700</t>
  </si>
  <si>
    <t>(2) ESSA/NCLB - Title I - Part C - Migrant</t>
  </si>
  <si>
    <t>0010800</t>
  </si>
  <si>
    <t>(3) ESSA/NCLB - Title IV - A - Student Support and Aca. Enr.</t>
  </si>
  <si>
    <t>0010900</t>
  </si>
  <si>
    <t>(4) ESSA/NCLB - Title II - A - Supporting Effective Instruction</t>
  </si>
  <si>
    <t>0011000</t>
  </si>
  <si>
    <t>(5) ESSA/NCLB - Title III - A - English Language Acq.</t>
  </si>
  <si>
    <t>0011100</t>
  </si>
  <si>
    <t>(6) ESSA/NCLB - Title IV - B - 21st CCLC</t>
  </si>
  <si>
    <t>0011200</t>
  </si>
  <si>
    <t>(7) ESSA - Title V, Part B, Rural and Low-Inc</t>
  </si>
  <si>
    <t>0011300</t>
  </si>
  <si>
    <t>(8) ESSA/NCLB - Title I - Part A - School Improvement</t>
  </si>
  <si>
    <t>0011400</t>
  </si>
  <si>
    <t>(9) NCLB - Title II - Part D - Technology</t>
  </si>
  <si>
    <t>0011500</t>
  </si>
  <si>
    <t>(10) ESSA -Title 1 1003A Direct Student Svc.</t>
  </si>
  <si>
    <t>0011501</t>
  </si>
  <si>
    <t>(11) ESSA - Title IX - Homeless Education</t>
  </si>
  <si>
    <t>0011502</t>
  </si>
  <si>
    <t>(12) Other ESSA Programs</t>
  </si>
  <si>
    <t>0011600</t>
  </si>
  <si>
    <t>Job Training Partnership Act (JTPA)</t>
  </si>
  <si>
    <t>0011700</t>
  </si>
  <si>
    <t>Temp. Assistance - Needy Families (TANF)</t>
  </si>
  <si>
    <t>0011800</t>
  </si>
  <si>
    <t>FEMA - Disaster Relief</t>
  </si>
  <si>
    <t>0011900</t>
  </si>
  <si>
    <t>Other Restricted Grants through State</t>
  </si>
  <si>
    <t>0012000</t>
  </si>
  <si>
    <t>Federal Revenue in Lieu of Taxes</t>
  </si>
  <si>
    <t>Loss of Taxes - Federal Housing Projects</t>
  </si>
  <si>
    <t>0012200</t>
  </si>
  <si>
    <t>Sale of Timber, etc.- Fed. Forest Reserve</t>
  </si>
  <si>
    <t>0012300</t>
  </si>
  <si>
    <t>0012400</t>
  </si>
  <si>
    <t>Federal Revenue For/On Behalf of the LEA</t>
  </si>
  <si>
    <t>Non-Food Assistance</t>
  </si>
  <si>
    <t>0012600</t>
  </si>
  <si>
    <t>Value of USDA Commodities</t>
  </si>
  <si>
    <t>0012700</t>
  </si>
  <si>
    <t>Other Revenues For/On Behalf of the LEA</t>
  </si>
  <si>
    <t>0012800</t>
  </si>
  <si>
    <t>TOTAL III. REVENUE FROM FEDERAL SOURCES</t>
  </si>
  <si>
    <t>TOTAL I-III. TOTAL REVENUE</t>
  </si>
  <si>
    <t>SECTION B. EXPENDITURES</t>
  </si>
  <si>
    <t>INSTRUCTION</t>
  </si>
  <si>
    <t>A.</t>
  </si>
  <si>
    <t>Kindergarten Teachers</t>
  </si>
  <si>
    <t>0015420</t>
  </si>
  <si>
    <t>C</t>
  </si>
  <si>
    <t>Y</t>
  </si>
  <si>
    <t>Instructional</t>
  </si>
  <si>
    <t>Elementary Teachers (grades 1 thru 8)</t>
  </si>
  <si>
    <t>0015430</t>
  </si>
  <si>
    <t>Secondary Teachers (grades 9 thru 12)</t>
  </si>
  <si>
    <t>0015440</t>
  </si>
  <si>
    <t>Aides</t>
  </si>
  <si>
    <t>0015450</t>
  </si>
  <si>
    <t>Substitute Teachers and Aides</t>
  </si>
  <si>
    <t>0015460</t>
  </si>
  <si>
    <t>Other Substitute/Temporary Employees</t>
  </si>
  <si>
    <t>0015470</t>
  </si>
  <si>
    <t>Other Instructional Salaries</t>
  </si>
  <si>
    <t>0015480</t>
  </si>
  <si>
    <t>Sabbatical Leave</t>
  </si>
  <si>
    <t>0015490</t>
  </si>
  <si>
    <t>Purchased Professional and Technical Services</t>
  </si>
  <si>
    <t>0015500</t>
  </si>
  <si>
    <t>Repairs and Maintenance Services</t>
  </si>
  <si>
    <t>0015515</t>
  </si>
  <si>
    <t>Rental of Equipment</t>
  </si>
  <si>
    <t>0015525</t>
  </si>
  <si>
    <t>Other Purchased Property Services</t>
  </si>
  <si>
    <t>0015535</t>
  </si>
  <si>
    <t>Tuition (see KPC 0020430 for others)</t>
  </si>
  <si>
    <t>(1) Paid to Other LEA (In-State)</t>
  </si>
  <si>
    <t>0015555</t>
  </si>
  <si>
    <t>Paid to Other LEA In-State</t>
  </si>
  <si>
    <t>(2) Paid to Other LEA (Out-of-State)</t>
  </si>
  <si>
    <t>0015565</t>
  </si>
  <si>
    <t>Paid to Other LEA Out-of-State</t>
  </si>
  <si>
    <t>(3) Paid to Private Sources</t>
  </si>
  <si>
    <t>0015575</t>
  </si>
  <si>
    <t>Paid to Private Sources</t>
  </si>
  <si>
    <t>Travel Expense Reimbursement</t>
  </si>
  <si>
    <t>0015585</t>
  </si>
  <si>
    <t>0015595</t>
  </si>
  <si>
    <t>Instructional Supplies</t>
  </si>
  <si>
    <t>Technology-Related Supplies</t>
  </si>
  <si>
    <t>0015610</t>
  </si>
  <si>
    <t>A</t>
  </si>
  <si>
    <t>Materials and Supplies (e.g., rpt. cards)</t>
  </si>
  <si>
    <t>0015620</t>
  </si>
  <si>
    <t>Textbooks/Workbooks</t>
  </si>
  <si>
    <t>0015630</t>
  </si>
  <si>
    <t>Other Supplies</t>
  </si>
  <si>
    <t>0015640</t>
  </si>
  <si>
    <t>Property/Equipment</t>
  </si>
  <si>
    <t>Technology-Related Hardware</t>
  </si>
  <si>
    <t>0015655</t>
  </si>
  <si>
    <t>Technology Software</t>
  </si>
  <si>
    <t>0015665</t>
  </si>
  <si>
    <t>All Other Equipment</t>
  </si>
  <si>
    <t>0015675</t>
  </si>
  <si>
    <t>Other Property</t>
  </si>
  <si>
    <t>0015685</t>
  </si>
  <si>
    <t>Miscellaneous Non-Public Expenditures</t>
  </si>
  <si>
    <t>0015700</t>
  </si>
  <si>
    <t>Other Miscellaneous Expenditures</t>
  </si>
  <si>
    <t>0015710</t>
  </si>
  <si>
    <t>Employee Benefits</t>
  </si>
  <si>
    <t>Group Insurance</t>
  </si>
  <si>
    <t>0015725</t>
  </si>
  <si>
    <t>FICA</t>
  </si>
  <si>
    <t>0015735</t>
  </si>
  <si>
    <t>0015745</t>
  </si>
  <si>
    <t>Employer's Contribution to</t>
  </si>
  <si>
    <t>(1) Louisiana Teachers Retirement</t>
  </si>
  <si>
    <t>0015760</t>
  </si>
  <si>
    <t>Louisiana Teachers Retirement</t>
  </si>
  <si>
    <t>(2) Louisiana School Employees Retirement</t>
  </si>
  <si>
    <t>0015770</t>
  </si>
  <si>
    <t>Louisiana School Employees Retirement</t>
  </si>
  <si>
    <t>(3) Other Retirement</t>
  </si>
  <si>
    <t>0015780</t>
  </si>
  <si>
    <t>Other Retirement</t>
  </si>
  <si>
    <t>Unemployment Compensation</t>
  </si>
  <si>
    <t>0015790</t>
  </si>
  <si>
    <t>Workmen's Compensation</t>
  </si>
  <si>
    <t>0015800</t>
  </si>
  <si>
    <t>Health Benefits (retirees)</t>
  </si>
  <si>
    <t>0015810</t>
  </si>
  <si>
    <t>Sick Leave Severance Pay</t>
  </si>
  <si>
    <t>0015820</t>
  </si>
  <si>
    <t>Annual Leave Severance Pay</t>
  </si>
  <si>
    <t>0015830</t>
  </si>
  <si>
    <t>j.</t>
  </si>
  <si>
    <t>Other Employee Benefits</t>
  </si>
  <si>
    <t>0015840</t>
  </si>
  <si>
    <t>TOTAL A. Regular Program Expenditures</t>
  </si>
  <si>
    <t>B.</t>
  </si>
  <si>
    <t>Special Eduction Programs - Special Needs</t>
  </si>
  <si>
    <t>(Including Summer and Pre-School Prog.)</t>
  </si>
  <si>
    <t>(1) Teachers</t>
  </si>
  <si>
    <t>0015930</t>
  </si>
  <si>
    <t>(2) Para-professionals (Aides)</t>
  </si>
  <si>
    <t>0015940</t>
  </si>
  <si>
    <t>Para-professionals (Aides)</t>
  </si>
  <si>
    <t>(3) Substitute Teachers</t>
  </si>
  <si>
    <t>0015950</t>
  </si>
  <si>
    <t>Substitute Teachers</t>
  </si>
  <si>
    <t>(4) Other Substitute/Temp. Employees</t>
  </si>
  <si>
    <t>0015960</t>
  </si>
  <si>
    <t>Other Substitute/Temp. Employees</t>
  </si>
  <si>
    <t>(5) Other Instructional Salaries</t>
  </si>
  <si>
    <t>0015970</t>
  </si>
  <si>
    <t>(6) Sabbatical Leave</t>
  </si>
  <si>
    <t>0015980</t>
  </si>
  <si>
    <t>Purchased Professional and Technical Svcs</t>
  </si>
  <si>
    <t>0015990</t>
  </si>
  <si>
    <t>(1) Repairs and Maintenance Services</t>
  </si>
  <si>
    <t>0016005</t>
  </si>
  <si>
    <t>(2) Rental of Equipment</t>
  </si>
  <si>
    <t>0016015</t>
  </si>
  <si>
    <t>(3) Other Purchased Property Services</t>
  </si>
  <si>
    <t>0016025</t>
  </si>
  <si>
    <t>(1) Tuition (see KPC 0020430 for others)</t>
  </si>
  <si>
    <t>(a) Paid to Other LEA (In-State)</t>
  </si>
  <si>
    <t>0016045</t>
  </si>
  <si>
    <t>(b) Paid to Other LEA (Out-of-State)</t>
  </si>
  <si>
    <t>0016055</t>
  </si>
  <si>
    <t>(c) Paid to Non-Public Schools - Vouchers</t>
  </si>
  <si>
    <t>0016065</t>
  </si>
  <si>
    <t>Paid to Non-Public Schools - Vouchers</t>
  </si>
  <si>
    <t>(d) Paid To Charter Schools - Vouchers</t>
  </si>
  <si>
    <t>0016068</t>
  </si>
  <si>
    <t>Paid To Charter Schools - Vouchers</t>
  </si>
  <si>
    <t>(e) Paid To School Districts - Vouchers</t>
  </si>
  <si>
    <t>0016070</t>
  </si>
  <si>
    <t>Paid To School Districts - Vouchers</t>
  </si>
  <si>
    <t>(2) Travel Expense Reimbursement</t>
  </si>
  <si>
    <t>0016075</t>
  </si>
  <si>
    <t>(3) Other Purchased Services</t>
  </si>
  <si>
    <t>0016085</t>
  </si>
  <si>
    <t>(1) Technology-Related Supplies</t>
  </si>
  <si>
    <t>0016100</t>
  </si>
  <si>
    <t>(2) Materials and Supplies</t>
  </si>
  <si>
    <t>0016110</t>
  </si>
  <si>
    <t>(3) Textbooks/Workbooks</t>
  </si>
  <si>
    <t>0016120</t>
  </si>
  <si>
    <t>(4) Other Supplies</t>
  </si>
  <si>
    <t>0016130</t>
  </si>
  <si>
    <t>(1) Technology-Related Hardware</t>
  </si>
  <si>
    <t>0016145</t>
  </si>
  <si>
    <t>(2) Technology Software</t>
  </si>
  <si>
    <t>0016155</t>
  </si>
  <si>
    <t>(3) All Other Equipment</t>
  </si>
  <si>
    <t>0016165</t>
  </si>
  <si>
    <t>(4) Other Property</t>
  </si>
  <si>
    <t>0016175</t>
  </si>
  <si>
    <t>(1) Miscellaneous Non-Public Expenditures</t>
  </si>
  <si>
    <t>0016190</t>
  </si>
  <si>
    <t>(2) Other Miscellaneous Expenditures</t>
  </si>
  <si>
    <t>0016200</t>
  </si>
  <si>
    <t>(1) Group Insurance</t>
  </si>
  <si>
    <t>0016215</t>
  </si>
  <si>
    <t>(2) FICA</t>
  </si>
  <si>
    <t>0016225</t>
  </si>
  <si>
    <t>(3) Medicare</t>
  </si>
  <si>
    <t>0016235</t>
  </si>
  <si>
    <t>(4) Employer's Contribution to</t>
  </si>
  <si>
    <t>(a) Louisiana Teachers Retirement</t>
  </si>
  <si>
    <t>0016250</t>
  </si>
  <si>
    <t>(b) Louisiana School Emp. Retirement</t>
  </si>
  <si>
    <t>0016260</t>
  </si>
  <si>
    <t>Louisiana School Emp. Retirement</t>
  </si>
  <si>
    <t>(c) Other Retirement</t>
  </si>
  <si>
    <t>0016270</t>
  </si>
  <si>
    <t>(5) Unemployment Compensation</t>
  </si>
  <si>
    <t>0016280</t>
  </si>
  <si>
    <t>(6) Workmen's Compensation</t>
  </si>
  <si>
    <t>0016290</t>
  </si>
  <si>
    <t>(7) Health Benefits (retirees)</t>
  </si>
  <si>
    <t>0016300</t>
  </si>
  <si>
    <t>(8) Sick Leave Severance Pay</t>
  </si>
  <si>
    <t>0016310</t>
  </si>
  <si>
    <t>(9) Annual Leave Severance Pay</t>
  </si>
  <si>
    <t>0016320</t>
  </si>
  <si>
    <t>(10) Other Employee Benefits</t>
  </si>
  <si>
    <t>0016330</t>
  </si>
  <si>
    <t>Gifted and Talented Programs</t>
  </si>
  <si>
    <t>0016350</t>
  </si>
  <si>
    <t>0016360</t>
  </si>
  <si>
    <t>0016370</t>
  </si>
  <si>
    <t>0016380</t>
  </si>
  <si>
    <t>0016390</t>
  </si>
  <si>
    <t>0016400</t>
  </si>
  <si>
    <t>0016410</t>
  </si>
  <si>
    <t>0016425</t>
  </si>
  <si>
    <t>0016435</t>
  </si>
  <si>
    <t>0016445</t>
  </si>
  <si>
    <t>(a) Paid to Other LEAs (In-State)</t>
  </si>
  <si>
    <t>0016465</t>
  </si>
  <si>
    <t>Paid to Other LEAs (In-State)</t>
  </si>
  <si>
    <t>0016475</t>
  </si>
  <si>
    <t>0016485</t>
  </si>
  <si>
    <t>0016488</t>
  </si>
  <si>
    <t>0016490</t>
  </si>
  <si>
    <t>0016495</t>
  </si>
  <si>
    <t>0016505</t>
  </si>
  <si>
    <t>0016520</t>
  </si>
  <si>
    <t>0016530</t>
  </si>
  <si>
    <t>0016540</t>
  </si>
  <si>
    <t>0016550</t>
  </si>
  <si>
    <t>0016565</t>
  </si>
  <si>
    <t>0016575</t>
  </si>
  <si>
    <t>0016585</t>
  </si>
  <si>
    <t>0016595</t>
  </si>
  <si>
    <t>0016610</t>
  </si>
  <si>
    <t>0016620</t>
  </si>
  <si>
    <t>0016635</t>
  </si>
  <si>
    <t>0016645</t>
  </si>
  <si>
    <t>0016655</t>
  </si>
  <si>
    <t>0016670</t>
  </si>
  <si>
    <t>0016680</t>
  </si>
  <si>
    <t>0016690</t>
  </si>
  <si>
    <t>0016700</t>
  </si>
  <si>
    <t>0016710</t>
  </si>
  <si>
    <t>0016720</t>
  </si>
  <si>
    <t>0016730</t>
  </si>
  <si>
    <t>0016740</t>
  </si>
  <si>
    <t>0016750</t>
  </si>
  <si>
    <t>TOTAL B. Special Education Expenditures</t>
  </si>
  <si>
    <t>C.</t>
  </si>
  <si>
    <t>Career and Technical Education Programs</t>
  </si>
  <si>
    <t>Agriculture Teachers</t>
  </si>
  <si>
    <t>0016820</t>
  </si>
  <si>
    <t>CTE Program</t>
  </si>
  <si>
    <t>Family &amp; Consumer Science Teachers</t>
  </si>
  <si>
    <t>0016830</t>
  </si>
  <si>
    <t>Trade &amp; Industry Program Teachers</t>
  </si>
  <si>
    <t>0016840</t>
  </si>
  <si>
    <t>Business &amp; Admin. Program Teachers</t>
  </si>
  <si>
    <t>0016850</t>
  </si>
  <si>
    <t>Health Science Program Teachers</t>
  </si>
  <si>
    <t>0016860</t>
  </si>
  <si>
    <t>Other Career/Tech. Ed. Program Teachers</t>
  </si>
  <si>
    <t>0016870</t>
  </si>
  <si>
    <t>0016880</t>
  </si>
  <si>
    <t>0016890</t>
  </si>
  <si>
    <t>0016900</t>
  </si>
  <si>
    <t>0016910</t>
  </si>
  <si>
    <t>k.</t>
  </si>
  <si>
    <t>0016920</t>
  </si>
  <si>
    <t>0016930</t>
  </si>
  <si>
    <t>0016945</t>
  </si>
  <si>
    <t>0016955</t>
  </si>
  <si>
    <t>0016965</t>
  </si>
  <si>
    <t>(1) Paid to Other LEAs (In-State)</t>
  </si>
  <si>
    <t>0016985</t>
  </si>
  <si>
    <t>(2) Paid to Other LEAs (Out-of-State)</t>
  </si>
  <si>
    <t>0016995</t>
  </si>
  <si>
    <t>Paid to Other LEAs (Out-of-State)</t>
  </si>
  <si>
    <t>0017005</t>
  </si>
  <si>
    <t>(4) Paid to Other Than LEAs (In-State)</t>
  </si>
  <si>
    <t>0017015</t>
  </si>
  <si>
    <t>Paid to Other Than LEAs (In-State)</t>
  </si>
  <si>
    <t>0017025</t>
  </si>
  <si>
    <t>0017035</t>
  </si>
  <si>
    <t>0017050</t>
  </si>
  <si>
    <t>Materials and Supplies (e.g., rpt cards)</t>
  </si>
  <si>
    <t>0017060</t>
  </si>
  <si>
    <t>0017070</t>
  </si>
  <si>
    <t>0017080</t>
  </si>
  <si>
    <t>0017095</t>
  </si>
  <si>
    <t>0017105</t>
  </si>
  <si>
    <t>0017115</t>
  </si>
  <si>
    <t>0017125</t>
  </si>
  <si>
    <t>0017140</t>
  </si>
  <si>
    <t>0017150</t>
  </si>
  <si>
    <t>0017165</t>
  </si>
  <si>
    <t>0017175</t>
  </si>
  <si>
    <t>0017185</t>
  </si>
  <si>
    <t>0017200</t>
  </si>
  <si>
    <t>0017210</t>
  </si>
  <si>
    <t>0017220</t>
  </si>
  <si>
    <t>0017230</t>
  </si>
  <si>
    <t>0017240</t>
  </si>
  <si>
    <t>0017250</t>
  </si>
  <si>
    <t>0017260</t>
  </si>
  <si>
    <t>0017270</t>
  </si>
  <si>
    <t>0017280</t>
  </si>
  <si>
    <t>TOTAL C. Career and Tech. Ed Prog. Expenditures</t>
  </si>
  <si>
    <t>D.</t>
  </si>
  <si>
    <t>Co-curricular Activities (1410)</t>
  </si>
  <si>
    <t>(1) Teacher (e.g. Band Dir, Debate Coach)</t>
  </si>
  <si>
    <t>0017355</t>
  </si>
  <si>
    <t>Co-curricular</t>
  </si>
  <si>
    <t>Teacher (e.g. Band Dir, Debate Coach)</t>
  </si>
  <si>
    <t>0017365</t>
  </si>
  <si>
    <t>0017375</t>
  </si>
  <si>
    <t>0017385</t>
  </si>
  <si>
    <t>0017395</t>
  </si>
  <si>
    <t>0017405</t>
  </si>
  <si>
    <t>0017415</t>
  </si>
  <si>
    <t>0017430</t>
  </si>
  <si>
    <t>0017440</t>
  </si>
  <si>
    <t>0017450</t>
  </si>
  <si>
    <t>0017470</t>
  </si>
  <si>
    <t>0017480</t>
  </si>
  <si>
    <t>(c) Paid to Private Sources</t>
  </si>
  <si>
    <t>0017490</t>
  </si>
  <si>
    <t>0017500</t>
  </si>
  <si>
    <t>0017510</t>
  </si>
  <si>
    <t>0017525</t>
  </si>
  <si>
    <t>0017535</t>
  </si>
  <si>
    <t>0017545</t>
  </si>
  <si>
    <t>0017555</t>
  </si>
  <si>
    <t>0017570</t>
  </si>
  <si>
    <t>0017580</t>
  </si>
  <si>
    <t>0017590</t>
  </si>
  <si>
    <t>0017600</t>
  </si>
  <si>
    <t>0017615</t>
  </si>
  <si>
    <t>0017625</t>
  </si>
  <si>
    <t>0017640</t>
  </si>
  <si>
    <t>0017650</t>
  </si>
  <si>
    <t>0017660</t>
  </si>
  <si>
    <t>0017675</t>
  </si>
  <si>
    <t>0017685</t>
  </si>
  <si>
    <t>0017695</t>
  </si>
  <si>
    <t>0017705</t>
  </si>
  <si>
    <t>0017715</t>
  </si>
  <si>
    <t>0017725</t>
  </si>
  <si>
    <t>0017735</t>
  </si>
  <si>
    <t>0017745</t>
  </si>
  <si>
    <t>0017755</t>
  </si>
  <si>
    <t>Athletics Programs (1420)</t>
  </si>
  <si>
    <t>(1) Teachers (e.g. Coaches, Dance Dir.)</t>
  </si>
  <si>
    <t>0017775</t>
  </si>
  <si>
    <t xml:space="preserve">Athletics </t>
  </si>
  <si>
    <t>Teachers (e.g. Coaches, Dance Dir.)</t>
  </si>
  <si>
    <t>0017785</t>
  </si>
  <si>
    <t>0017795</t>
  </si>
  <si>
    <t>0017805</t>
  </si>
  <si>
    <t>0017815</t>
  </si>
  <si>
    <t>0017825</t>
  </si>
  <si>
    <t>0017835</t>
  </si>
  <si>
    <t>0017850</t>
  </si>
  <si>
    <t>0017860</t>
  </si>
  <si>
    <t>0017870</t>
  </si>
  <si>
    <t>0017890</t>
  </si>
  <si>
    <t>0017900</t>
  </si>
  <si>
    <t>0017910</t>
  </si>
  <si>
    <t>0017920</t>
  </si>
  <si>
    <t>0017930</t>
  </si>
  <si>
    <t>0017945</t>
  </si>
  <si>
    <t>0017955</t>
  </si>
  <si>
    <t>0017965</t>
  </si>
  <si>
    <t>0017975</t>
  </si>
  <si>
    <t>0017990</t>
  </si>
  <si>
    <t>0018000</t>
  </si>
  <si>
    <t>0018010</t>
  </si>
  <si>
    <t>0018020</t>
  </si>
  <si>
    <t>0018035</t>
  </si>
  <si>
    <t>0018045</t>
  </si>
  <si>
    <t>0018060</t>
  </si>
  <si>
    <t>0018070</t>
  </si>
  <si>
    <t>0018080</t>
  </si>
  <si>
    <t>0018095</t>
  </si>
  <si>
    <t>0018105</t>
  </si>
  <si>
    <t>0018115</t>
  </si>
  <si>
    <t>0018125</t>
  </si>
  <si>
    <t>0018135</t>
  </si>
  <si>
    <t>0018145</t>
  </si>
  <si>
    <t>0018155</t>
  </si>
  <si>
    <t>0018165</t>
  </si>
  <si>
    <t>0018175</t>
  </si>
  <si>
    <t>Driver Education Programs (1440)</t>
  </si>
  <si>
    <t>0018195</t>
  </si>
  <si>
    <t>Driver Education</t>
  </si>
  <si>
    <t>0018205</t>
  </si>
  <si>
    <t>0018215</t>
  </si>
  <si>
    <t>0018225</t>
  </si>
  <si>
    <t>0018235</t>
  </si>
  <si>
    <t>0018245</t>
  </si>
  <si>
    <t>0018255</t>
  </si>
  <si>
    <t>0018270</t>
  </si>
  <si>
    <t>(2) Rental of Equipment and Vehicles</t>
  </si>
  <si>
    <t>0018280</t>
  </si>
  <si>
    <t>Rental of Equipment and Vehicles</t>
  </si>
  <si>
    <t>0018290</t>
  </si>
  <si>
    <t>(1) Fleet Insurance</t>
  </si>
  <si>
    <t>0018305</t>
  </si>
  <si>
    <t>Fleet Insurance</t>
  </si>
  <si>
    <t>(2) Tuition (see KPC 0020430 for others)</t>
  </si>
  <si>
    <t>0018320</t>
  </si>
  <si>
    <t>0018330</t>
  </si>
  <si>
    <t>0018340</t>
  </si>
  <si>
    <t>(3) Travel Expense Reimbursement</t>
  </si>
  <si>
    <t>0018350</t>
  </si>
  <si>
    <t>(4) Other Purchased Services</t>
  </si>
  <si>
    <t>0018360</t>
  </si>
  <si>
    <t>0018375</t>
  </si>
  <si>
    <t>0018385</t>
  </si>
  <si>
    <t>(3) Fuel</t>
  </si>
  <si>
    <t>0018395</t>
  </si>
  <si>
    <t>Fuel</t>
  </si>
  <si>
    <t>(4) Textbooks/Workbooks</t>
  </si>
  <si>
    <t>0018405</t>
  </si>
  <si>
    <t>(5) Other Supplies</t>
  </si>
  <si>
    <t>0018415</t>
  </si>
  <si>
    <t>0018430</t>
  </si>
  <si>
    <t>0018440</t>
  </si>
  <si>
    <t>(3) All Other Equipment (Including Veh.)</t>
  </si>
  <si>
    <t>0018450</t>
  </si>
  <si>
    <t>0018460</t>
  </si>
  <si>
    <t>0018475</t>
  </si>
  <si>
    <t>0018485</t>
  </si>
  <si>
    <t>0018500</t>
  </si>
  <si>
    <t>0018510</t>
  </si>
  <si>
    <t>0018520</t>
  </si>
  <si>
    <t>0018535</t>
  </si>
  <si>
    <t>0018545</t>
  </si>
  <si>
    <t>0018555</t>
  </si>
  <si>
    <t>0018565</t>
  </si>
  <si>
    <t>0018575</t>
  </si>
  <si>
    <t>0018585</t>
  </si>
  <si>
    <t>0018595</t>
  </si>
  <si>
    <t>0018605</t>
  </si>
  <si>
    <t>0018615</t>
  </si>
  <si>
    <t>Junior ROTC Program (1450)</t>
  </si>
  <si>
    <t>(1) Teachers/Instructors</t>
  </si>
  <si>
    <t>0018635</t>
  </si>
  <si>
    <t>Teachers/Instructors</t>
  </si>
  <si>
    <t>0018645</t>
  </si>
  <si>
    <t>0018655</t>
  </si>
  <si>
    <t>0018665</t>
  </si>
  <si>
    <t>0018675</t>
  </si>
  <si>
    <t>0018685</t>
  </si>
  <si>
    <t>0018695</t>
  </si>
  <si>
    <t>0018710</t>
  </si>
  <si>
    <t>0018720</t>
  </si>
  <si>
    <t>0018730</t>
  </si>
  <si>
    <t>0018750</t>
  </si>
  <si>
    <t>0018760</t>
  </si>
  <si>
    <t>0018770</t>
  </si>
  <si>
    <t>0018780</t>
  </si>
  <si>
    <t>0018790</t>
  </si>
  <si>
    <t>0018805</t>
  </si>
  <si>
    <t>0018815</t>
  </si>
  <si>
    <t>0018825</t>
  </si>
  <si>
    <t>0018835</t>
  </si>
  <si>
    <t>0018850</t>
  </si>
  <si>
    <t>0018860</t>
  </si>
  <si>
    <t>0018870</t>
  </si>
  <si>
    <t>0018880</t>
  </si>
  <si>
    <t>0018895</t>
  </si>
  <si>
    <t>0018905</t>
  </si>
  <si>
    <t>0018920</t>
  </si>
  <si>
    <t>0018930</t>
  </si>
  <si>
    <t>0018940</t>
  </si>
  <si>
    <t>0018955</t>
  </si>
  <si>
    <t>0018965</t>
  </si>
  <si>
    <t>0018975</t>
  </si>
  <si>
    <t>0018985</t>
  </si>
  <si>
    <t>0018995</t>
  </si>
  <si>
    <t>0019005</t>
  </si>
  <si>
    <t>0019015</t>
  </si>
  <si>
    <t>0019025</t>
  </si>
  <si>
    <t>0019035</t>
  </si>
  <si>
    <t>After-School Programs - Exclude Special Ed. (1460)</t>
  </si>
  <si>
    <t>0019055</t>
  </si>
  <si>
    <t>Afterschool programs</t>
  </si>
  <si>
    <t>0019065</t>
  </si>
  <si>
    <t>0019075</t>
  </si>
  <si>
    <t>0019085</t>
  </si>
  <si>
    <t>0019095</t>
  </si>
  <si>
    <t>0019105</t>
  </si>
  <si>
    <t>0019115</t>
  </si>
  <si>
    <t>0019130</t>
  </si>
  <si>
    <t>0019140</t>
  </si>
  <si>
    <t>0019150</t>
  </si>
  <si>
    <t>1) Tuition (see KPC 0020430 for others)</t>
  </si>
  <si>
    <t>0019170</t>
  </si>
  <si>
    <t>0019180</t>
  </si>
  <si>
    <t>0019190</t>
  </si>
  <si>
    <t>0019200</t>
  </si>
  <si>
    <t>0019210</t>
  </si>
  <si>
    <t>0019225</t>
  </si>
  <si>
    <t>0019235</t>
  </si>
  <si>
    <t>0019245</t>
  </si>
  <si>
    <t>0019255</t>
  </si>
  <si>
    <t>0019270</t>
  </si>
  <si>
    <t>0019280</t>
  </si>
  <si>
    <t>0019290</t>
  </si>
  <si>
    <t>0019300</t>
  </si>
  <si>
    <t>0019315</t>
  </si>
  <si>
    <t>0019325</t>
  </si>
  <si>
    <t>0019340</t>
  </si>
  <si>
    <t>0019350</t>
  </si>
  <si>
    <t>0019360</t>
  </si>
  <si>
    <t>0019375</t>
  </si>
  <si>
    <t>0019385</t>
  </si>
  <si>
    <t>0019395</t>
  </si>
  <si>
    <t>0019405</t>
  </si>
  <si>
    <t>0019415</t>
  </si>
  <si>
    <t>0019425</t>
  </si>
  <si>
    <t>0019435</t>
  </si>
  <si>
    <t>0019445</t>
  </si>
  <si>
    <t>0019455</t>
  </si>
  <si>
    <t>Summer School Programs - Exclude Sp. Ed. (1470)</t>
  </si>
  <si>
    <t>0019475</t>
  </si>
  <si>
    <t>Summer School</t>
  </si>
  <si>
    <t>0019485</t>
  </si>
  <si>
    <t>0019495</t>
  </si>
  <si>
    <t>0019505</t>
  </si>
  <si>
    <t>0019515</t>
  </si>
  <si>
    <t>0019525</t>
  </si>
  <si>
    <t>0019535</t>
  </si>
  <si>
    <t>0019550</t>
  </si>
  <si>
    <t>0019560</t>
  </si>
  <si>
    <t>0019570</t>
  </si>
  <si>
    <t>0019590</t>
  </si>
  <si>
    <t>0019600</t>
  </si>
  <si>
    <t>0019610</t>
  </si>
  <si>
    <t>0019620</t>
  </si>
  <si>
    <t>0019630</t>
  </si>
  <si>
    <t>0019645</t>
  </si>
  <si>
    <t>0019655</t>
  </si>
  <si>
    <t>0019665</t>
  </si>
  <si>
    <t>0019675</t>
  </si>
  <si>
    <t>0019690</t>
  </si>
  <si>
    <t>0019700</t>
  </si>
  <si>
    <t>0019710</t>
  </si>
  <si>
    <t>0019720</t>
  </si>
  <si>
    <t>0019735</t>
  </si>
  <si>
    <t>0019745</t>
  </si>
  <si>
    <t>0019760</t>
  </si>
  <si>
    <t>0019770</t>
  </si>
  <si>
    <t>0019780</t>
  </si>
  <si>
    <t>0019795</t>
  </si>
  <si>
    <t>0019805</t>
  </si>
  <si>
    <t>0019815</t>
  </si>
  <si>
    <t>0019825</t>
  </si>
  <si>
    <t>0019835</t>
  </si>
  <si>
    <t>0019845</t>
  </si>
  <si>
    <t>0019855</t>
  </si>
  <si>
    <t>0019865</t>
  </si>
  <si>
    <t>0019875</t>
  </si>
  <si>
    <t>Alternative School Programs (1480)</t>
  </si>
  <si>
    <t>0019895</t>
  </si>
  <si>
    <t>B</t>
  </si>
  <si>
    <t>Alternative Programs</t>
  </si>
  <si>
    <t>0019905</t>
  </si>
  <si>
    <t>0019915</t>
  </si>
  <si>
    <t>0019925</t>
  </si>
  <si>
    <t>0019935</t>
  </si>
  <si>
    <t>0019945</t>
  </si>
  <si>
    <t>0019955</t>
  </si>
  <si>
    <t>0019970</t>
  </si>
  <si>
    <t>0019980</t>
  </si>
  <si>
    <t>0019990</t>
  </si>
  <si>
    <t>0020010</t>
  </si>
  <si>
    <t>0020020</t>
  </si>
  <si>
    <t>0020030</t>
  </si>
  <si>
    <t>0020040</t>
  </si>
  <si>
    <t>0020050</t>
  </si>
  <si>
    <t>0020065</t>
  </si>
  <si>
    <t>0020075</t>
  </si>
  <si>
    <t>0020085</t>
  </si>
  <si>
    <t>0020095</t>
  </si>
  <si>
    <t>0020110</t>
  </si>
  <si>
    <t>0020120</t>
  </si>
  <si>
    <t>0020130</t>
  </si>
  <si>
    <t>0020140</t>
  </si>
  <si>
    <t>0020155</t>
  </si>
  <si>
    <t>0020165</t>
  </si>
  <si>
    <t>0020180</t>
  </si>
  <si>
    <t>0020190</t>
  </si>
  <si>
    <t>0020200</t>
  </si>
  <si>
    <t>0020215</t>
  </si>
  <si>
    <t>0020225</t>
  </si>
  <si>
    <t>0020235</t>
  </si>
  <si>
    <t>0020245</t>
  </si>
  <si>
    <t>0020255</t>
  </si>
  <si>
    <t>0020265</t>
  </si>
  <si>
    <t>0020275</t>
  </si>
  <si>
    <t>0020285</t>
  </si>
  <si>
    <t>0020295</t>
  </si>
  <si>
    <t>Other Instructional Programs (1490)</t>
  </si>
  <si>
    <t>0020315</t>
  </si>
  <si>
    <t>Other Instructional Programs</t>
  </si>
  <si>
    <t>0020325</t>
  </si>
  <si>
    <t>0020335</t>
  </si>
  <si>
    <t>0020345</t>
  </si>
  <si>
    <t>0020355</t>
  </si>
  <si>
    <t>0020365</t>
  </si>
  <si>
    <t>0020375</t>
  </si>
  <si>
    <t>0020390</t>
  </si>
  <si>
    <t>0020400</t>
  </si>
  <si>
    <t>0020410</t>
  </si>
  <si>
    <t>(1) Tuition Not Reported Elsewhere</t>
  </si>
  <si>
    <t>0020430</t>
  </si>
  <si>
    <t>0020440</t>
  </si>
  <si>
    <t>0020450</t>
  </si>
  <si>
    <t>(d) Other Than LEA's (In-State)</t>
  </si>
  <si>
    <t>0020460</t>
  </si>
  <si>
    <t>Other Than LEA's (In-State)</t>
  </si>
  <si>
    <t>(e) Other Than LEA's (Out-Of-State)</t>
  </si>
  <si>
    <t>0020470</t>
  </si>
  <si>
    <t>Other Than LEA's (Out-Of-State)</t>
  </si>
  <si>
    <t>(f) Paid To Charter Schools - Vouchers</t>
  </si>
  <si>
    <t>0020480</t>
  </si>
  <si>
    <t>(g) Paid To Sch. District - Vouchers</t>
  </si>
  <si>
    <t>0020490</t>
  </si>
  <si>
    <t>Paid To Sch. District - Vouchers</t>
  </si>
  <si>
    <t>(h) Paid To All Others</t>
  </si>
  <si>
    <t>0020500</t>
  </si>
  <si>
    <t>Paid To All Others</t>
  </si>
  <si>
    <t>0020510</t>
  </si>
  <si>
    <t>0020520</t>
  </si>
  <si>
    <t>0020535</t>
  </si>
  <si>
    <t>0020545</t>
  </si>
  <si>
    <t>0020555</t>
  </si>
  <si>
    <t>0020565</t>
  </si>
  <si>
    <t>0020580</t>
  </si>
  <si>
    <t>0020590</t>
  </si>
  <si>
    <t>0020600</t>
  </si>
  <si>
    <t>0020610</t>
  </si>
  <si>
    <t>0020625</t>
  </si>
  <si>
    <t>0020635</t>
  </si>
  <si>
    <t>0020650</t>
  </si>
  <si>
    <t>0020660</t>
  </si>
  <si>
    <t>0020670</t>
  </si>
  <si>
    <t>0020685</t>
  </si>
  <si>
    <t>0020695</t>
  </si>
  <si>
    <t>0020705</t>
  </si>
  <si>
    <t>0020715</t>
  </si>
  <si>
    <t>0020725</t>
  </si>
  <si>
    <t>0020735</t>
  </si>
  <si>
    <t>0020745</t>
  </si>
  <si>
    <t>0020755</t>
  </si>
  <si>
    <t>0020765</t>
  </si>
  <si>
    <t>TOTAL D. Other Instructional Program Expenditures</t>
  </si>
  <si>
    <t>E.</t>
  </si>
  <si>
    <t>Every Student Succeeds Act (ESSA) (1510)</t>
  </si>
  <si>
    <t>0020875</t>
  </si>
  <si>
    <t>ESSA Programs</t>
  </si>
  <si>
    <t>0020885</t>
  </si>
  <si>
    <t>0020895</t>
  </si>
  <si>
    <t>0020905</t>
  </si>
  <si>
    <t>0020915</t>
  </si>
  <si>
    <t>0020925</t>
  </si>
  <si>
    <t>0020935</t>
  </si>
  <si>
    <t>0020950</t>
  </si>
  <si>
    <t>0020960</t>
  </si>
  <si>
    <t>0020970</t>
  </si>
  <si>
    <t>0020990</t>
  </si>
  <si>
    <t>0021000</t>
  </si>
  <si>
    <t>0021010</t>
  </si>
  <si>
    <t>0021020</t>
  </si>
  <si>
    <t>0021030</t>
  </si>
  <si>
    <t>0021045</t>
  </si>
  <si>
    <t>0021055</t>
  </si>
  <si>
    <t>0021065</t>
  </si>
  <si>
    <t>0021075</t>
  </si>
  <si>
    <t>0021090</t>
  </si>
  <si>
    <t>0021100</t>
  </si>
  <si>
    <t>0021110</t>
  </si>
  <si>
    <t>0021120</t>
  </si>
  <si>
    <t>0021135</t>
  </si>
  <si>
    <t>0021145</t>
  </si>
  <si>
    <t>0021160</t>
  </si>
  <si>
    <t>0021170</t>
  </si>
  <si>
    <t>0021180</t>
  </si>
  <si>
    <t>0021195</t>
  </si>
  <si>
    <t>0021205</t>
  </si>
  <si>
    <t>0021215</t>
  </si>
  <si>
    <t>0021225</t>
  </si>
  <si>
    <t>0021235</t>
  </si>
  <si>
    <t>0021245</t>
  </si>
  <si>
    <t>0021255</t>
  </si>
  <si>
    <t>0021265</t>
  </si>
  <si>
    <t>0021275</t>
  </si>
  <si>
    <t>English Language Acquisition Gp - Title III (1520)</t>
  </si>
  <si>
    <t>0021295</t>
  </si>
  <si>
    <t>ELL Programs</t>
  </si>
  <si>
    <t>0021305</t>
  </si>
  <si>
    <t>0021315</t>
  </si>
  <si>
    <t>0021325</t>
  </si>
  <si>
    <t>0021335</t>
  </si>
  <si>
    <t>0021345</t>
  </si>
  <si>
    <t>0021355</t>
  </si>
  <si>
    <t>0021370</t>
  </si>
  <si>
    <t>0021380</t>
  </si>
  <si>
    <t>0021390</t>
  </si>
  <si>
    <t>0021410</t>
  </si>
  <si>
    <t>0021420</t>
  </si>
  <si>
    <t>0021430</t>
  </si>
  <si>
    <t>0021440</t>
  </si>
  <si>
    <t>0021450</t>
  </si>
  <si>
    <t>0021465</t>
  </si>
  <si>
    <t>0021475</t>
  </si>
  <si>
    <t>0021485</t>
  </si>
  <si>
    <t>0021495</t>
  </si>
  <si>
    <t>0021510</t>
  </si>
  <si>
    <t>0021520</t>
  </si>
  <si>
    <t>0021530</t>
  </si>
  <si>
    <t>0021540</t>
  </si>
  <si>
    <t>0021555</t>
  </si>
  <si>
    <t>0021565</t>
  </si>
  <si>
    <t>0021580</t>
  </si>
  <si>
    <t>0021590</t>
  </si>
  <si>
    <t>0021600</t>
  </si>
  <si>
    <t>0021615</t>
  </si>
  <si>
    <t>0021625</t>
  </si>
  <si>
    <t>0021635</t>
  </si>
  <si>
    <t>0021645</t>
  </si>
  <si>
    <t>0021655</t>
  </si>
  <si>
    <t>0021665</t>
  </si>
  <si>
    <t>0021675</t>
  </si>
  <si>
    <t>0021685</t>
  </si>
  <si>
    <t>0021695</t>
  </si>
  <si>
    <t>Pre-Kindergarten Programs (1530)</t>
  </si>
  <si>
    <t>(e.g., Headstart, Early Childhood, etc.)</t>
  </si>
  <si>
    <t>0021720</t>
  </si>
  <si>
    <t>PreK Programs</t>
  </si>
  <si>
    <t>0021730</t>
  </si>
  <si>
    <t>0021740</t>
  </si>
  <si>
    <t>0021750</t>
  </si>
  <si>
    <t>0021760</t>
  </si>
  <si>
    <t>0021770</t>
  </si>
  <si>
    <t>0021780</t>
  </si>
  <si>
    <t>0021795</t>
  </si>
  <si>
    <t>0021805</t>
  </si>
  <si>
    <t>0021815</t>
  </si>
  <si>
    <t>0021835</t>
  </si>
  <si>
    <t>0021845</t>
  </si>
  <si>
    <t>0021855</t>
  </si>
  <si>
    <t>0021865</t>
  </si>
  <si>
    <t>0021875</t>
  </si>
  <si>
    <t>0021890</t>
  </si>
  <si>
    <t>0021900</t>
  </si>
  <si>
    <t>0021910</t>
  </si>
  <si>
    <t>0021920</t>
  </si>
  <si>
    <t>0021935</t>
  </si>
  <si>
    <t>0021945</t>
  </si>
  <si>
    <t>0021955</t>
  </si>
  <si>
    <t>0021965</t>
  </si>
  <si>
    <t>0021980</t>
  </si>
  <si>
    <t>0021990</t>
  </si>
  <si>
    <t>0022005</t>
  </si>
  <si>
    <t>0022015</t>
  </si>
  <si>
    <t>0022025</t>
  </si>
  <si>
    <t>0022040</t>
  </si>
  <si>
    <t>0022050</t>
  </si>
  <si>
    <t>0022060</t>
  </si>
  <si>
    <t>0022070</t>
  </si>
  <si>
    <t>0022080</t>
  </si>
  <si>
    <t>0022090</t>
  </si>
  <si>
    <t>0022100</t>
  </si>
  <si>
    <t>0022110</t>
  </si>
  <si>
    <t>0022120</t>
  </si>
  <si>
    <t>Other Special Programs (1590)</t>
  </si>
  <si>
    <t>0022140</t>
  </si>
  <si>
    <t>Other Special Programs</t>
  </si>
  <si>
    <t>0022150</t>
  </si>
  <si>
    <t>0022160</t>
  </si>
  <si>
    <t>0022170</t>
  </si>
  <si>
    <t>0022180</t>
  </si>
  <si>
    <t>0022190</t>
  </si>
  <si>
    <t>0022200</t>
  </si>
  <si>
    <t>0022215</t>
  </si>
  <si>
    <t>0022225</t>
  </si>
  <si>
    <t>0022235</t>
  </si>
  <si>
    <t>0022255</t>
  </si>
  <si>
    <t>0022265</t>
  </si>
  <si>
    <t>0022275</t>
  </si>
  <si>
    <t>0022285</t>
  </si>
  <si>
    <t>0022295</t>
  </si>
  <si>
    <t>0022310</t>
  </si>
  <si>
    <t>0022320</t>
  </si>
  <si>
    <t>0022330</t>
  </si>
  <si>
    <t>0022340</t>
  </si>
  <si>
    <t>0022355</t>
  </si>
  <si>
    <t>0022365</t>
  </si>
  <si>
    <t>0022375</t>
  </si>
  <si>
    <t>0022385</t>
  </si>
  <si>
    <t>0022400</t>
  </si>
  <si>
    <t>0022410</t>
  </si>
  <si>
    <t>0022425</t>
  </si>
  <si>
    <t>0022435</t>
  </si>
  <si>
    <t>0022445</t>
  </si>
  <si>
    <t>0022460</t>
  </si>
  <si>
    <t>0022470</t>
  </si>
  <si>
    <t>0022480</t>
  </si>
  <si>
    <t>0022490</t>
  </si>
  <si>
    <t>0022500</t>
  </si>
  <si>
    <t>0022510</t>
  </si>
  <si>
    <t>0022520</t>
  </si>
  <si>
    <t>0022530</t>
  </si>
  <si>
    <t>0022540</t>
  </si>
  <si>
    <t>TOTAL E. Special Program Expenditures</t>
  </si>
  <si>
    <t>F.</t>
  </si>
  <si>
    <t>Adult/Continuing Education Programs (1600)</t>
  </si>
  <si>
    <t>0022620</t>
  </si>
  <si>
    <t>Adult Ed Programs</t>
  </si>
  <si>
    <t>0022630</t>
  </si>
  <si>
    <t>0022640</t>
  </si>
  <si>
    <t>0022650</t>
  </si>
  <si>
    <t>0022660</t>
  </si>
  <si>
    <t>0022670</t>
  </si>
  <si>
    <t>0022680</t>
  </si>
  <si>
    <t>0022695</t>
  </si>
  <si>
    <t>0022705</t>
  </si>
  <si>
    <t>0022715</t>
  </si>
  <si>
    <t>0022735</t>
  </si>
  <si>
    <t>0022745</t>
  </si>
  <si>
    <t>0022755</t>
  </si>
  <si>
    <t>0022765</t>
  </si>
  <si>
    <t>0022775</t>
  </si>
  <si>
    <t>0022790</t>
  </si>
  <si>
    <t>0022800</t>
  </si>
  <si>
    <t>0022810</t>
  </si>
  <si>
    <t>0022820</t>
  </si>
  <si>
    <t>0022835</t>
  </si>
  <si>
    <t>0022845</t>
  </si>
  <si>
    <t>0022855</t>
  </si>
  <si>
    <t>0022865</t>
  </si>
  <si>
    <t>0022880</t>
  </si>
  <si>
    <t>0022890</t>
  </si>
  <si>
    <t>0022905</t>
  </si>
  <si>
    <t>0022915</t>
  </si>
  <si>
    <t>0022925</t>
  </si>
  <si>
    <t>0022940</t>
  </si>
  <si>
    <t>0022950</t>
  </si>
  <si>
    <t>0022960</t>
  </si>
  <si>
    <t>0022970</t>
  </si>
  <si>
    <t>0022980</t>
  </si>
  <si>
    <t>0022990</t>
  </si>
  <si>
    <t>0023000</t>
  </si>
  <si>
    <t>0023010</t>
  </si>
  <si>
    <t>j</t>
  </si>
  <si>
    <t>0023020</t>
  </si>
  <si>
    <t>TOTAL F. Adult/Continuing Ed. Expenditures</t>
  </si>
  <si>
    <t>Note: Section G and Sub-Paras 39-46 Are Reserved For</t>
  </si>
  <si>
    <t>Community College Program Data (Pre-1999 Reports)</t>
  </si>
  <si>
    <t>TOTAL I. A-G. INSTRUCTION EXPENDITURES</t>
  </si>
  <si>
    <t>SUPPORT SERVICES PROGRAMS</t>
  </si>
  <si>
    <t>Attendance and Social Work Services (2110)</t>
  </si>
  <si>
    <t>(1) Supervisors</t>
  </si>
  <si>
    <t>0024230</t>
  </si>
  <si>
    <t>Attendance &amp; Social Work Programs</t>
  </si>
  <si>
    <t>Supervisors</t>
  </si>
  <si>
    <t>(2) Social Workers</t>
  </si>
  <si>
    <t>0024240</t>
  </si>
  <si>
    <t>Social Workers</t>
  </si>
  <si>
    <t>(3) Clerical/Secretarial</t>
  </si>
  <si>
    <t>0024250</t>
  </si>
  <si>
    <t>Clerical/Secretarial</t>
  </si>
  <si>
    <t>(4) Other Attendance/Social Work Salaries</t>
  </si>
  <si>
    <t>0024260</t>
  </si>
  <si>
    <t>Other Attendance/Social Work Salaries</t>
  </si>
  <si>
    <t>(5) Sabbatical Leave</t>
  </si>
  <si>
    <t>0024270</t>
  </si>
  <si>
    <t>0024280</t>
  </si>
  <si>
    <t>0024295</t>
  </si>
  <si>
    <t>0024305</t>
  </si>
  <si>
    <t>0024315</t>
  </si>
  <si>
    <t>(1) Travel Expense Reimbursement</t>
  </si>
  <si>
    <t>0024330</t>
  </si>
  <si>
    <t>(2) Other Purchased Services</t>
  </si>
  <si>
    <t>0024340</t>
  </si>
  <si>
    <t>0024355</t>
  </si>
  <si>
    <t>0024365</t>
  </si>
  <si>
    <t>(3) Other Supplies</t>
  </si>
  <si>
    <t>0024375</t>
  </si>
  <si>
    <t>0024390</t>
  </si>
  <si>
    <t>0024400</t>
  </si>
  <si>
    <t>0024410</t>
  </si>
  <si>
    <t>0024420</t>
  </si>
  <si>
    <t>0024435</t>
  </si>
  <si>
    <t>0024445</t>
  </si>
  <si>
    <t>0024510</t>
  </si>
  <si>
    <t>0024520</t>
  </si>
  <si>
    <t>0024530</t>
  </si>
  <si>
    <t>0024545</t>
  </si>
  <si>
    <t>0024555</t>
  </si>
  <si>
    <t>0024565</t>
  </si>
  <si>
    <t>0024575</t>
  </si>
  <si>
    <t>0024585</t>
  </si>
  <si>
    <t>0024595</t>
  </si>
  <si>
    <t>0024605</t>
  </si>
  <si>
    <t>0024615</t>
  </si>
  <si>
    <t>0024625</t>
  </si>
  <si>
    <t>Guidance Services - All Students (2120)</t>
  </si>
  <si>
    <t>0024655</t>
  </si>
  <si>
    <t>Guidance Services</t>
  </si>
  <si>
    <t>(2) Guidance Counselors</t>
  </si>
  <si>
    <t>0024665</t>
  </si>
  <si>
    <t>Guidance Counselors</t>
  </si>
  <si>
    <t>0024675</t>
  </si>
  <si>
    <t>(4) Other Guidance Services Salaries</t>
  </si>
  <si>
    <t>0024685</t>
  </si>
  <si>
    <t>Other Guidance Services Salaries</t>
  </si>
  <si>
    <t>0024695</t>
  </si>
  <si>
    <t>0024705</t>
  </si>
  <si>
    <t>0024720</t>
  </si>
  <si>
    <t>0024730</t>
  </si>
  <si>
    <t>0024740</t>
  </si>
  <si>
    <t>0024755</t>
  </si>
  <si>
    <t>0024765</t>
  </si>
  <si>
    <t>0024780</t>
  </si>
  <si>
    <t>0024790</t>
  </si>
  <si>
    <t>0024800</t>
  </si>
  <si>
    <t>0024815</t>
  </si>
  <si>
    <t>0024825</t>
  </si>
  <si>
    <t>0024835</t>
  </si>
  <si>
    <t>0024845</t>
  </si>
  <si>
    <t>0024860</t>
  </si>
  <si>
    <t>0024870</t>
  </si>
  <si>
    <t>0024930</t>
  </si>
  <si>
    <t>0024940</t>
  </si>
  <si>
    <t>0024950</t>
  </si>
  <si>
    <t>0024965</t>
  </si>
  <si>
    <t>0024975</t>
  </si>
  <si>
    <t>0024985</t>
  </si>
  <si>
    <t>0024995</t>
  </si>
  <si>
    <t>0025005</t>
  </si>
  <si>
    <t>0025015</t>
  </si>
  <si>
    <t>0025025</t>
  </si>
  <si>
    <t>0025035</t>
  </si>
  <si>
    <t>0025045</t>
  </si>
  <si>
    <t>Health Services - All Students (2130)</t>
  </si>
  <si>
    <t>0025100</t>
  </si>
  <si>
    <t>Health Services</t>
  </si>
  <si>
    <t>(2) Staff Physicians</t>
  </si>
  <si>
    <t>0025110</t>
  </si>
  <si>
    <t>Staff Physicians</t>
  </si>
  <si>
    <t>(3) School Nurses (RN)</t>
  </si>
  <si>
    <t>0025120</t>
  </si>
  <si>
    <t>School Nurses (RN)</t>
  </si>
  <si>
    <t>(4) Therapists, Specalists, Counselors,</t>
  </si>
  <si>
    <t>and Psychologists - Health Services</t>
  </si>
  <si>
    <t>0025135</t>
  </si>
  <si>
    <t>(5) Clerical/Secretarial</t>
  </si>
  <si>
    <t>0025145</t>
  </si>
  <si>
    <t>(6) Aides - Health Services</t>
  </si>
  <si>
    <t>0025155</t>
  </si>
  <si>
    <t>Aides - Health Services</t>
  </si>
  <si>
    <t>(7) Other Salaries</t>
  </si>
  <si>
    <t>0025165</t>
  </si>
  <si>
    <t>Other Salaries</t>
  </si>
  <si>
    <t>(8) Sabbatical Leave</t>
  </si>
  <si>
    <t>0025175</t>
  </si>
  <si>
    <t>0025185</t>
  </si>
  <si>
    <t>0025200</t>
  </si>
  <si>
    <t>0025210</t>
  </si>
  <si>
    <t>0025220</t>
  </si>
  <si>
    <t>(1) Errors/Omissions Insur. (Malpractice)</t>
  </si>
  <si>
    <t>0025235</t>
  </si>
  <si>
    <t>Errors/Omissions Insurance</t>
  </si>
  <si>
    <t>0025245</t>
  </si>
  <si>
    <t>0025255</t>
  </si>
  <si>
    <t>0025270</t>
  </si>
  <si>
    <t>0025280</t>
  </si>
  <si>
    <t>0025290</t>
  </si>
  <si>
    <t>0025305</t>
  </si>
  <si>
    <t>0025315</t>
  </si>
  <si>
    <t>0025325</t>
  </si>
  <si>
    <t>0025335</t>
  </si>
  <si>
    <t>0025350</t>
  </si>
  <si>
    <t>0025360</t>
  </si>
  <si>
    <t>0025410</t>
  </si>
  <si>
    <t>0025420</t>
  </si>
  <si>
    <t>0025430</t>
  </si>
  <si>
    <t>0025445</t>
  </si>
  <si>
    <t>0025455</t>
  </si>
  <si>
    <t>0025465</t>
  </si>
  <si>
    <t>0025475</t>
  </si>
  <si>
    <t>0025485</t>
  </si>
  <si>
    <t>0025495</t>
  </si>
  <si>
    <t>0025505</t>
  </si>
  <si>
    <t>0025515</t>
  </si>
  <si>
    <t>0025525</t>
  </si>
  <si>
    <t>Educational Assessments - Special Needs (2140)</t>
  </si>
  <si>
    <t>0025580</t>
  </si>
  <si>
    <t>Educational Assessments</t>
  </si>
  <si>
    <t>(2) Psychologists</t>
  </si>
  <si>
    <t>0025590</t>
  </si>
  <si>
    <t>Psychologists</t>
  </si>
  <si>
    <t>(3) Educational Diagnosticians</t>
  </si>
  <si>
    <t>0025600</t>
  </si>
  <si>
    <t>Educational Diagnosticians</t>
  </si>
  <si>
    <t>(4) Other Therap./Counselors/Soc. Workers</t>
  </si>
  <si>
    <t>0025610</t>
  </si>
  <si>
    <t>Other Therap./Counselors/Soc. Workers</t>
  </si>
  <si>
    <t>0025620</t>
  </si>
  <si>
    <t>(6) Other Salaries</t>
  </si>
  <si>
    <t>0025630</t>
  </si>
  <si>
    <t>(7) Sabbatical Leave</t>
  </si>
  <si>
    <t>0025640</t>
  </si>
  <si>
    <t>0025650</t>
  </si>
  <si>
    <t>0025665</t>
  </si>
  <si>
    <t>0025675</t>
  </si>
  <si>
    <t>0025685</t>
  </si>
  <si>
    <t>0025700</t>
  </si>
  <si>
    <t>0025710</t>
  </si>
  <si>
    <t>0025725</t>
  </si>
  <si>
    <t>0025735</t>
  </si>
  <si>
    <t>0025745</t>
  </si>
  <si>
    <t>0025760</t>
  </si>
  <si>
    <t>0025770</t>
  </si>
  <si>
    <t>0025780</t>
  </si>
  <si>
    <t>0025790</t>
  </si>
  <si>
    <t>0025805</t>
  </si>
  <si>
    <t>0025815</t>
  </si>
  <si>
    <t>0025875</t>
  </si>
  <si>
    <t>0025885</t>
  </si>
  <si>
    <t>0025895</t>
  </si>
  <si>
    <t>0025910</t>
  </si>
  <si>
    <t>0025920</t>
  </si>
  <si>
    <t>0025930</t>
  </si>
  <si>
    <t>0025940</t>
  </si>
  <si>
    <t>0025950</t>
  </si>
  <si>
    <t>0025960</t>
  </si>
  <si>
    <t>0025970</t>
  </si>
  <si>
    <t>0025980</t>
  </si>
  <si>
    <t>0025990</t>
  </si>
  <si>
    <t>Speech Pathology &amp; Audiology - Sp Needs (2150)</t>
  </si>
  <si>
    <t>a. Salaries</t>
  </si>
  <si>
    <t>0026045</t>
  </si>
  <si>
    <t>Speech Services</t>
  </si>
  <si>
    <t>(2) Speech Therapists (Speech Impaired)</t>
  </si>
  <si>
    <t>0026055</t>
  </si>
  <si>
    <t>Speech Therapists (Speech Impaired)</t>
  </si>
  <si>
    <t>(3) Audio Therapists (Hearing Impaired)</t>
  </si>
  <si>
    <t>0026065</t>
  </si>
  <si>
    <t>Audio Therapists (Hearing Impaired)</t>
  </si>
  <si>
    <t>(4) Other Therapists/Specialists - Speech</t>
  </si>
  <si>
    <t>Pathology &amp; Audiology Services</t>
  </si>
  <si>
    <t>0026080</t>
  </si>
  <si>
    <t>(5) Educ. Interpr./Sign Language Interpr.</t>
  </si>
  <si>
    <t>0026090</t>
  </si>
  <si>
    <t>Educ. Interpr./Sign Language Interpr.</t>
  </si>
  <si>
    <t>(6) Clerical/Secretarial</t>
  </si>
  <si>
    <t>0026100</t>
  </si>
  <si>
    <t>(7) Other Salaries - Speech Path &amp; Audio</t>
  </si>
  <si>
    <t>0026110</t>
  </si>
  <si>
    <t>Other Salaries - Speech Path &amp; Audio</t>
  </si>
  <si>
    <t>0026120</t>
  </si>
  <si>
    <t>0026130</t>
  </si>
  <si>
    <t>0026145</t>
  </si>
  <si>
    <t>0026155</t>
  </si>
  <si>
    <t>0026165</t>
  </si>
  <si>
    <t>0026180</t>
  </si>
  <si>
    <t>0026190</t>
  </si>
  <si>
    <t>0026205</t>
  </si>
  <si>
    <t>0026215</t>
  </si>
  <si>
    <t>0026225</t>
  </si>
  <si>
    <t>0026240</t>
  </si>
  <si>
    <t>0026250</t>
  </si>
  <si>
    <t>0026260</t>
  </si>
  <si>
    <t>0026270</t>
  </si>
  <si>
    <t>0026285</t>
  </si>
  <si>
    <t>0026295</t>
  </si>
  <si>
    <t>0026350</t>
  </si>
  <si>
    <t>0026360</t>
  </si>
  <si>
    <t>0026370</t>
  </si>
  <si>
    <t>0026385</t>
  </si>
  <si>
    <t>0026395</t>
  </si>
  <si>
    <t>0026405</t>
  </si>
  <si>
    <t>0026415</t>
  </si>
  <si>
    <t>0026425</t>
  </si>
  <si>
    <t>0026435</t>
  </si>
  <si>
    <t>0026445</t>
  </si>
  <si>
    <t>0026455</t>
  </si>
  <si>
    <t>0026465</t>
  </si>
  <si>
    <t>Occupational Therapy &amp; Related Svcs -</t>
  </si>
  <si>
    <t>Special Needs (2160)</t>
  </si>
  <si>
    <t>0026515</t>
  </si>
  <si>
    <t>Occupational Therapy &amp; Related Svcs</t>
  </si>
  <si>
    <t>(2) Occupational Therapist</t>
  </si>
  <si>
    <t>0026525</t>
  </si>
  <si>
    <t>Occupational Therapist</t>
  </si>
  <si>
    <t>(3) Physical Therapist</t>
  </si>
  <si>
    <t>0026535</t>
  </si>
  <si>
    <t>Physical Therapist</t>
  </si>
  <si>
    <t>(4) Recreational Therapists</t>
  </si>
  <si>
    <t>0026545</t>
  </si>
  <si>
    <t>Recreational Therapists</t>
  </si>
  <si>
    <t>(5) Rehabilitational Therapist</t>
  </si>
  <si>
    <t>0026550</t>
  </si>
  <si>
    <t>Rehabilitational Therapist</t>
  </si>
  <si>
    <t>(6) Orientation and Mobility Therapists</t>
  </si>
  <si>
    <t>0026555</t>
  </si>
  <si>
    <t>Orientation and Mobility Therapists</t>
  </si>
  <si>
    <t>(7) Other Therapy &amp; Related Svcs Salaries</t>
  </si>
  <si>
    <t>0026565</t>
  </si>
  <si>
    <t>Other Therapy &amp; Related Svcs Salaries</t>
  </si>
  <si>
    <t>0026575</t>
  </si>
  <si>
    <t>0026585</t>
  </si>
  <si>
    <t>0026600</t>
  </si>
  <si>
    <t>0026610</t>
  </si>
  <si>
    <t>0026620</t>
  </si>
  <si>
    <t>0026635</t>
  </si>
  <si>
    <t>0026645</t>
  </si>
  <si>
    <t>0026660</t>
  </si>
  <si>
    <t>0026670</t>
  </si>
  <si>
    <t>0026680</t>
  </si>
  <si>
    <t>0026695</t>
  </si>
  <si>
    <t>0026705</t>
  </si>
  <si>
    <t>0026715</t>
  </si>
  <si>
    <t>0026725</t>
  </si>
  <si>
    <t>0026740</t>
  </si>
  <si>
    <t>0026750</t>
  </si>
  <si>
    <t>0026800</t>
  </si>
  <si>
    <t>0026810</t>
  </si>
  <si>
    <t>0026820</t>
  </si>
  <si>
    <t>0026835</t>
  </si>
  <si>
    <t>0026845</t>
  </si>
  <si>
    <t>0026855</t>
  </si>
  <si>
    <t>0026865</t>
  </si>
  <si>
    <t>0026875</t>
  </si>
  <si>
    <t>0026885</t>
  </si>
  <si>
    <t>0026895</t>
  </si>
  <si>
    <t>0026905</t>
  </si>
  <si>
    <t>0026915</t>
  </si>
  <si>
    <t>Support Of Individual Special Needs Students (2170)</t>
  </si>
  <si>
    <t>(1) Supervisor (eg, Assistive Tech Super)</t>
  </si>
  <si>
    <t>0026965</t>
  </si>
  <si>
    <t>Support Of Individual Special Needs Students</t>
  </si>
  <si>
    <t>Supervisor (eg, Assistive Tech Super)</t>
  </si>
  <si>
    <t>(2) Therapists/Specialists</t>
  </si>
  <si>
    <t>0026975</t>
  </si>
  <si>
    <t>Therapists/Specialists</t>
  </si>
  <si>
    <t>(3) Para-professionals (Aides)</t>
  </si>
  <si>
    <t>0026985</t>
  </si>
  <si>
    <t>(4) Other Salaries</t>
  </si>
  <si>
    <t>0026995</t>
  </si>
  <si>
    <t>0027005</t>
  </si>
  <si>
    <t>0027015</t>
  </si>
  <si>
    <t>0027030</t>
  </si>
  <si>
    <t>0027040</t>
  </si>
  <si>
    <t>0027050</t>
  </si>
  <si>
    <t>0027065</t>
  </si>
  <si>
    <t>0027075</t>
  </si>
  <si>
    <t>e. Supplies</t>
  </si>
  <si>
    <t>0027090</t>
  </si>
  <si>
    <t>0027100</t>
  </si>
  <si>
    <t>0027110</t>
  </si>
  <si>
    <t>0027125</t>
  </si>
  <si>
    <t>0027135</t>
  </si>
  <si>
    <t>0027145</t>
  </si>
  <si>
    <t>0027155</t>
  </si>
  <si>
    <t>0027170</t>
  </si>
  <si>
    <t>0027180</t>
  </si>
  <si>
    <t>0027230</t>
  </si>
  <si>
    <t>0027240</t>
  </si>
  <si>
    <t>0027250</t>
  </si>
  <si>
    <t>0027265</t>
  </si>
  <si>
    <t>0027275</t>
  </si>
  <si>
    <t>0027285</t>
  </si>
  <si>
    <t>0027295</t>
  </si>
  <si>
    <t>0027305</t>
  </si>
  <si>
    <t>0027315</t>
  </si>
  <si>
    <t>0027325</t>
  </si>
  <si>
    <t>0027335</t>
  </si>
  <si>
    <t>0027345</t>
  </si>
  <si>
    <t>Other Pupil Support Services (2190)</t>
  </si>
  <si>
    <t>(Includes parental and family involvement)</t>
  </si>
  <si>
    <t>(1) Other Supervisors</t>
  </si>
  <si>
    <t>0027400</t>
  </si>
  <si>
    <t xml:space="preserve">Other Pupil Support Services </t>
  </si>
  <si>
    <t>Other Supervisors</t>
  </si>
  <si>
    <t>(2) Other Therapists/Counselors</t>
  </si>
  <si>
    <t>0027410</t>
  </si>
  <si>
    <t>Other Therapists/Counselors</t>
  </si>
  <si>
    <t>(3) Other Clerical/Secretarial</t>
  </si>
  <si>
    <t>0027420</t>
  </si>
  <si>
    <t>Other Clerical/Secretarial</t>
  </si>
  <si>
    <t>(4) Substitute/Temporary Employees</t>
  </si>
  <si>
    <t>0027430</t>
  </si>
  <si>
    <t>Substitute/Temporary Employees</t>
  </si>
  <si>
    <t>(5) Other Salaries</t>
  </si>
  <si>
    <t>0027440</t>
  </si>
  <si>
    <t>(6) Other Sabbatical Leave</t>
  </si>
  <si>
    <t>0027450</t>
  </si>
  <si>
    <t>Other Sabbatical Leave</t>
  </si>
  <si>
    <t>0027460</t>
  </si>
  <si>
    <t>0027475</t>
  </si>
  <si>
    <t>0027485</t>
  </si>
  <si>
    <t>0027495</t>
  </si>
  <si>
    <t>0027510</t>
  </si>
  <si>
    <t>0027520</t>
  </si>
  <si>
    <t>0027535</t>
  </si>
  <si>
    <t>0027545</t>
  </si>
  <si>
    <t>0027555</t>
  </si>
  <si>
    <t>0027570</t>
  </si>
  <si>
    <t>0027580</t>
  </si>
  <si>
    <t>0027590</t>
  </si>
  <si>
    <t>0027600</t>
  </si>
  <si>
    <t>0027615</t>
  </si>
  <si>
    <t>0027625</t>
  </si>
  <si>
    <t>0027680</t>
  </si>
  <si>
    <t>0027690</t>
  </si>
  <si>
    <t>0027700</t>
  </si>
  <si>
    <t>0027715</t>
  </si>
  <si>
    <t>0027725</t>
  </si>
  <si>
    <t>0027735</t>
  </si>
  <si>
    <t>0027745</t>
  </si>
  <si>
    <t>0027755</t>
  </si>
  <si>
    <t>0027765</t>
  </si>
  <si>
    <t>0027775</t>
  </si>
  <si>
    <t>0027785</t>
  </si>
  <si>
    <t>0027795</t>
  </si>
  <si>
    <t>TOTAL A. Pupil Support Services</t>
  </si>
  <si>
    <t>Improvement of Instructional Services (2210)</t>
  </si>
  <si>
    <t>Regular Programs - Elem. and Sec.</t>
  </si>
  <si>
    <t>(1) Salaries - Improvements - Reg. Prog.</t>
  </si>
  <si>
    <t>(a) Director/Supervisors</t>
  </si>
  <si>
    <t>0028475</t>
  </si>
  <si>
    <t xml:space="preserve">Improvement of Instructional Services </t>
  </si>
  <si>
    <t>Director/Supervisors</t>
  </si>
  <si>
    <t>(b) Specialists</t>
  </si>
  <si>
    <t>0028485</t>
  </si>
  <si>
    <t>Specialists</t>
  </si>
  <si>
    <t>(c) Clerical/Secretarial</t>
  </si>
  <si>
    <t>0028495</t>
  </si>
  <si>
    <t>(d) Other Salaries</t>
  </si>
  <si>
    <t>0028505</t>
  </si>
  <si>
    <t>(e) Sabbatical Leave</t>
  </si>
  <si>
    <t>0028515</t>
  </si>
  <si>
    <t>(2) Purchased Professional and Tech. Svcs</t>
  </si>
  <si>
    <t>0028525</t>
  </si>
  <si>
    <t>Purchased Professional and Tech. Svcs</t>
  </si>
  <si>
    <t>(3) Purchased Property Services</t>
  </si>
  <si>
    <t>(a) Repairs and Maintenance Services</t>
  </si>
  <si>
    <t>0028540</t>
  </si>
  <si>
    <t>(b) Rental of Equipment</t>
  </si>
  <si>
    <t>0028550</t>
  </si>
  <si>
    <t>(c) Other Purchased Property Svcs</t>
  </si>
  <si>
    <t>0028560</t>
  </si>
  <si>
    <t>Other Purchased Property Svcs</t>
  </si>
  <si>
    <t>(a) Travel Expense Reimbursement</t>
  </si>
  <si>
    <t>0028575</t>
  </si>
  <si>
    <t>(b) Other Purchased Services</t>
  </si>
  <si>
    <t>0028585</t>
  </si>
  <si>
    <t>(5) Supplies</t>
  </si>
  <si>
    <t>(a) Technology-Related Supplies</t>
  </si>
  <si>
    <t>0028600</t>
  </si>
  <si>
    <t>(b) Materials and Supplies</t>
  </si>
  <si>
    <t>0028610</t>
  </si>
  <si>
    <t>(c) Other Supplies</t>
  </si>
  <si>
    <t>0028620</t>
  </si>
  <si>
    <t>(6) Property/Equipment</t>
  </si>
  <si>
    <t>(a) Technology-Related Hardware</t>
  </si>
  <si>
    <t>0028635</t>
  </si>
  <si>
    <t>(b) Technology Software</t>
  </si>
  <si>
    <t>0028645</t>
  </si>
  <si>
    <t>(c) All Other Equipment</t>
  </si>
  <si>
    <t>0028655</t>
  </si>
  <si>
    <t>(d) Other Property</t>
  </si>
  <si>
    <t>0028665</t>
  </si>
  <si>
    <t>(7) Miscellaneous</t>
  </si>
  <si>
    <t>(a) Misc. Non-Public Expenditures</t>
  </si>
  <si>
    <t>0028680</t>
  </si>
  <si>
    <t>Misc. Non-Public Expenditures</t>
  </si>
  <si>
    <t>(b) Other Miscellaneous Expenditures</t>
  </si>
  <si>
    <t>0028690</t>
  </si>
  <si>
    <t>(8) Employee Benefits</t>
  </si>
  <si>
    <t>(a) Group Insurance</t>
  </si>
  <si>
    <t>0028735</t>
  </si>
  <si>
    <t>(b) FICA</t>
  </si>
  <si>
    <t>0028745</t>
  </si>
  <si>
    <t>(c) Medicare</t>
  </si>
  <si>
    <t>0028755</t>
  </si>
  <si>
    <t>(d) Employer's Contribution to</t>
  </si>
  <si>
    <t>1) Louisiana Teachers Retirement</t>
  </si>
  <si>
    <t>0028770</t>
  </si>
  <si>
    <t>2) Louisiana School Emp. Retire.</t>
  </si>
  <si>
    <t>0028780</t>
  </si>
  <si>
    <t>Louisiana School Emp. Retire.</t>
  </si>
  <si>
    <t>3) Other Retirement</t>
  </si>
  <si>
    <t>0028790</t>
  </si>
  <si>
    <t>(e) Unemployment Compensation</t>
  </si>
  <si>
    <t>0028800</t>
  </si>
  <si>
    <t>(f) Workmen's Compensation</t>
  </si>
  <si>
    <t>0028810</t>
  </si>
  <si>
    <t>(g) Health Benefits (retirees)</t>
  </si>
  <si>
    <t>0028820</t>
  </si>
  <si>
    <t>(h) Sick Leave Severance Pay</t>
  </si>
  <si>
    <t>0028830</t>
  </si>
  <si>
    <t>(i) Annual Leave Severance Pay</t>
  </si>
  <si>
    <t>0028840</t>
  </si>
  <si>
    <t>(j) Other Employee Benefits</t>
  </si>
  <si>
    <t>0028850</t>
  </si>
  <si>
    <t>Special Education Programs - Sp. Needs</t>
  </si>
  <si>
    <t>(1) Salaries - Improvements - Sp Ed Prog</t>
  </si>
  <si>
    <t>(a) District Sp. Ed Dir./Supervisors</t>
  </si>
  <si>
    <t>0028905</t>
  </si>
  <si>
    <t>Instructional Staff Services - Special Education Programs</t>
  </si>
  <si>
    <t>District Sp. Ed Dir./Supervisors</t>
  </si>
  <si>
    <t>0028915</t>
  </si>
  <si>
    <t>0028925</t>
  </si>
  <si>
    <t>0028935</t>
  </si>
  <si>
    <t>0028945</t>
  </si>
  <si>
    <t>0028955</t>
  </si>
  <si>
    <t>0028970</t>
  </si>
  <si>
    <t>0028980</t>
  </si>
  <si>
    <t>0028990</t>
  </si>
  <si>
    <t>0029005</t>
  </si>
  <si>
    <t>0029015</t>
  </si>
  <si>
    <t>0029030</t>
  </si>
  <si>
    <t>0029040</t>
  </si>
  <si>
    <t>0029050</t>
  </si>
  <si>
    <t>0029065</t>
  </si>
  <si>
    <t>0029075</t>
  </si>
  <si>
    <t>0029085</t>
  </si>
  <si>
    <t>0029095</t>
  </si>
  <si>
    <t>0029110</t>
  </si>
  <si>
    <t>0029120</t>
  </si>
  <si>
    <t>0029170</t>
  </si>
  <si>
    <t>0029180</t>
  </si>
  <si>
    <t>0029190</t>
  </si>
  <si>
    <t>0029205</t>
  </si>
  <si>
    <t>0029215</t>
  </si>
  <si>
    <t>0029225</t>
  </si>
  <si>
    <t>0029235</t>
  </si>
  <si>
    <t>0029245</t>
  </si>
  <si>
    <t>0029255</t>
  </si>
  <si>
    <t>0029265</t>
  </si>
  <si>
    <t>0029275</t>
  </si>
  <si>
    <t>0029285</t>
  </si>
  <si>
    <t>Special Education Programs(G/T) Programs</t>
  </si>
  <si>
    <t>(1) Salaries - Improvements - G/T Programs</t>
  </si>
  <si>
    <t>a) Director/Supervisors</t>
  </si>
  <si>
    <t>0029345</t>
  </si>
  <si>
    <t>Instructional Staff Services - G/T Programs</t>
  </si>
  <si>
    <t>0029355</t>
  </si>
  <si>
    <t>0029365</t>
  </si>
  <si>
    <t>0029375</t>
  </si>
  <si>
    <t>0029385</t>
  </si>
  <si>
    <t>0029395</t>
  </si>
  <si>
    <t>0029410</t>
  </si>
  <si>
    <t>0029420</t>
  </si>
  <si>
    <t>0029430</t>
  </si>
  <si>
    <t>0029445</t>
  </si>
  <si>
    <t>0029455</t>
  </si>
  <si>
    <t>0029470</t>
  </si>
  <si>
    <t>0029480</t>
  </si>
  <si>
    <t>0029490</t>
  </si>
  <si>
    <t>0029505</t>
  </si>
  <si>
    <t>0029515</t>
  </si>
  <si>
    <t>0029525</t>
  </si>
  <si>
    <t>0029535</t>
  </si>
  <si>
    <t>0029550</t>
  </si>
  <si>
    <t>0029560</t>
  </si>
  <si>
    <t>0029600</t>
  </si>
  <si>
    <t>0029610</t>
  </si>
  <si>
    <t>0029620</t>
  </si>
  <si>
    <t>0029635</t>
  </si>
  <si>
    <t>0029645</t>
  </si>
  <si>
    <t>0029655</t>
  </si>
  <si>
    <t>0029665</t>
  </si>
  <si>
    <t>0029675</t>
  </si>
  <si>
    <t>0029685</t>
  </si>
  <si>
    <t>0029695</t>
  </si>
  <si>
    <t>0029705</t>
  </si>
  <si>
    <t>0029715</t>
  </si>
  <si>
    <t>Other Special Programs -</t>
  </si>
  <si>
    <t>ESSA/NCLB, Bilingual, Headstart, and</t>
  </si>
  <si>
    <t>Early Childhood</t>
  </si>
  <si>
    <t>(1) Salaries - Improvements - Oth Sp Prog</t>
  </si>
  <si>
    <t>0029785</t>
  </si>
  <si>
    <t>Instructional Staff Services - Other Special Programs</t>
  </si>
  <si>
    <t>0029795</t>
  </si>
  <si>
    <t>0029805</t>
  </si>
  <si>
    <t>0029815</t>
  </si>
  <si>
    <t>0029825</t>
  </si>
  <si>
    <t>0029835</t>
  </si>
  <si>
    <t>0029850</t>
  </si>
  <si>
    <t>0029860</t>
  </si>
  <si>
    <t>0029870</t>
  </si>
  <si>
    <t>0029885</t>
  </si>
  <si>
    <t>0029895</t>
  </si>
  <si>
    <t>0029910</t>
  </si>
  <si>
    <t>0029920</t>
  </si>
  <si>
    <t>0029930</t>
  </si>
  <si>
    <t>0029945</t>
  </si>
  <si>
    <t>0029955</t>
  </si>
  <si>
    <t>0029965</t>
  </si>
  <si>
    <t>0029975</t>
  </si>
  <si>
    <t>0029990</t>
  </si>
  <si>
    <t>0030000</t>
  </si>
  <si>
    <t>0030040</t>
  </si>
  <si>
    <t>0030050</t>
  </si>
  <si>
    <t>0030060</t>
  </si>
  <si>
    <t>0030075</t>
  </si>
  <si>
    <t>0030085</t>
  </si>
  <si>
    <t>0030095</t>
  </si>
  <si>
    <t>0030105</t>
  </si>
  <si>
    <t>0030115</t>
  </si>
  <si>
    <t>0030125</t>
  </si>
  <si>
    <t>0030135</t>
  </si>
  <si>
    <t>0030145</t>
  </si>
  <si>
    <t>0030155</t>
  </si>
  <si>
    <t>Career &amp; Technical Education Programs</t>
  </si>
  <si>
    <t>(1) Salaries - Improve. - Career &amp; Tech.</t>
  </si>
  <si>
    <t>0030215</t>
  </si>
  <si>
    <t>Instructional Staff Services - CTE Programs</t>
  </si>
  <si>
    <t>0030225</t>
  </si>
  <si>
    <t>0030235</t>
  </si>
  <si>
    <t>0030245</t>
  </si>
  <si>
    <t>0030255</t>
  </si>
  <si>
    <t>0030265</t>
  </si>
  <si>
    <t>0030280</t>
  </si>
  <si>
    <t>0030290</t>
  </si>
  <si>
    <t>0030300</t>
  </si>
  <si>
    <t>0030315</t>
  </si>
  <si>
    <t>0030325</t>
  </si>
  <si>
    <t>0030340</t>
  </si>
  <si>
    <t>0030350</t>
  </si>
  <si>
    <t>0030360</t>
  </si>
  <si>
    <t>0030375</t>
  </si>
  <si>
    <t>0030385</t>
  </si>
  <si>
    <t>0030395</t>
  </si>
  <si>
    <t>0030405</t>
  </si>
  <si>
    <t>0030420</t>
  </si>
  <si>
    <t>0030430</t>
  </si>
  <si>
    <t>0030480</t>
  </si>
  <si>
    <t>0030490</t>
  </si>
  <si>
    <t>0030500</t>
  </si>
  <si>
    <t>0030515</t>
  </si>
  <si>
    <t>0030525</t>
  </si>
  <si>
    <t>0030535</t>
  </si>
  <si>
    <t>0030545</t>
  </si>
  <si>
    <t>0030555</t>
  </si>
  <si>
    <t>0030565</t>
  </si>
  <si>
    <t>0030575</t>
  </si>
  <si>
    <t>0030585</t>
  </si>
  <si>
    <t>0030595</t>
  </si>
  <si>
    <t>Adult Education Programs</t>
  </si>
  <si>
    <t>(1) Salaries - Improve. - Adult Ed. Prog</t>
  </si>
  <si>
    <t>0030650</t>
  </si>
  <si>
    <t>Instructional Staff Services - Adult Ed Programs</t>
  </si>
  <si>
    <t>0030655</t>
  </si>
  <si>
    <t>0030660</t>
  </si>
  <si>
    <t>0030665</t>
  </si>
  <si>
    <t>0030670</t>
  </si>
  <si>
    <t>0030675</t>
  </si>
  <si>
    <t>0030685</t>
  </si>
  <si>
    <t>0030690</t>
  </si>
  <si>
    <t>0030695</t>
  </si>
  <si>
    <t>0030705</t>
  </si>
  <si>
    <t>0030710</t>
  </si>
  <si>
    <t>0030720</t>
  </si>
  <si>
    <t>0030725</t>
  </si>
  <si>
    <t>0030730</t>
  </si>
  <si>
    <t>0030740</t>
  </si>
  <si>
    <t>0030745</t>
  </si>
  <si>
    <t>0030750</t>
  </si>
  <si>
    <t>0030755</t>
  </si>
  <si>
    <t>0030765</t>
  </si>
  <si>
    <t>0030770</t>
  </si>
  <si>
    <t>0030780</t>
  </si>
  <si>
    <t>0030785</t>
  </si>
  <si>
    <t>0030790</t>
  </si>
  <si>
    <t>0030800</t>
  </si>
  <si>
    <t>0030805</t>
  </si>
  <si>
    <t>0030810</t>
  </si>
  <si>
    <t>0030815</t>
  </si>
  <si>
    <t>0030820</t>
  </si>
  <si>
    <t>0030825</t>
  </si>
  <si>
    <t>0030830</t>
  </si>
  <si>
    <t>0030835</t>
  </si>
  <si>
    <t>0030840</t>
  </si>
  <si>
    <t>Improvement of Other Educational Programs</t>
  </si>
  <si>
    <t>(1) Salaries - Improve. - Other Ed. Prog.</t>
  </si>
  <si>
    <t>(a) Director/Super. (e.g., JROTC CO)</t>
  </si>
  <si>
    <t>0030865</t>
  </si>
  <si>
    <t>Instructional Staff Services - Improvement of Other Educational Programs</t>
  </si>
  <si>
    <t>Director/Super. (e.g., JROTC CO)</t>
  </si>
  <si>
    <t>0030875</t>
  </si>
  <si>
    <t>0030885</t>
  </si>
  <si>
    <t>0030895</t>
  </si>
  <si>
    <t>0030905</t>
  </si>
  <si>
    <t>0030915</t>
  </si>
  <si>
    <t>0030930</t>
  </si>
  <si>
    <t>0030940</t>
  </si>
  <si>
    <t>0030950</t>
  </si>
  <si>
    <t>0030965</t>
  </si>
  <si>
    <t>0030975</t>
  </si>
  <si>
    <t>0030990</t>
  </si>
  <si>
    <t>0031000</t>
  </si>
  <si>
    <t>0031010</t>
  </si>
  <si>
    <t>0031025</t>
  </si>
  <si>
    <t>0031035</t>
  </si>
  <si>
    <t>0031045</t>
  </si>
  <si>
    <t>0031055</t>
  </si>
  <si>
    <t>0031070</t>
  </si>
  <si>
    <t>0031080</t>
  </si>
  <si>
    <t>0031130</t>
  </si>
  <si>
    <t>0031140</t>
  </si>
  <si>
    <t>0031150</t>
  </si>
  <si>
    <t>0031165</t>
  </si>
  <si>
    <t>0031175</t>
  </si>
  <si>
    <t>0031185</t>
  </si>
  <si>
    <t>0031195</t>
  </si>
  <si>
    <t>0031205</t>
  </si>
  <si>
    <t>0031215</t>
  </si>
  <si>
    <t>0031225</t>
  </si>
  <si>
    <t>0031235</t>
  </si>
  <si>
    <t>0031245</t>
  </si>
  <si>
    <t>Instruction &amp; Curriculum Development Svcs (2220)</t>
  </si>
  <si>
    <t>Salaries - Instr. &amp; Curr. Dev. Svcs.</t>
  </si>
  <si>
    <t>(1) Director/Supervisors</t>
  </si>
  <si>
    <t>0031305</t>
  </si>
  <si>
    <t>Instructional Staff Services - Instruction &amp; Curriculum Development Svcs</t>
  </si>
  <si>
    <t>(2) Specialists</t>
  </si>
  <si>
    <t>0031315</t>
  </si>
  <si>
    <t>0031325</t>
  </si>
  <si>
    <t>0031335</t>
  </si>
  <si>
    <t>0031345</t>
  </si>
  <si>
    <t>0031355</t>
  </si>
  <si>
    <t>0031370</t>
  </si>
  <si>
    <t>0031380</t>
  </si>
  <si>
    <t>0031390</t>
  </si>
  <si>
    <t>0031405</t>
  </si>
  <si>
    <t>0031415</t>
  </si>
  <si>
    <t>0031430</t>
  </si>
  <si>
    <t>0031440</t>
  </si>
  <si>
    <t>(3) Books and Periodicals</t>
  </si>
  <si>
    <t>0031450</t>
  </si>
  <si>
    <t>Books and Periodicals</t>
  </si>
  <si>
    <t>0031460</t>
  </si>
  <si>
    <t>0031475</t>
  </si>
  <si>
    <t>0031485</t>
  </si>
  <si>
    <t>0031495</t>
  </si>
  <si>
    <t>0031505</t>
  </si>
  <si>
    <t>0031520</t>
  </si>
  <si>
    <t>0031530</t>
  </si>
  <si>
    <t>0031580</t>
  </si>
  <si>
    <t>0031590</t>
  </si>
  <si>
    <t>0031600</t>
  </si>
  <si>
    <t>0031615</t>
  </si>
  <si>
    <t>0031625</t>
  </si>
  <si>
    <t>0031635</t>
  </si>
  <si>
    <t>0031645</t>
  </si>
  <si>
    <t>0031655</t>
  </si>
  <si>
    <t>0031665</t>
  </si>
  <si>
    <t>0031675</t>
  </si>
  <si>
    <t>0031685</t>
  </si>
  <si>
    <t>0031695</t>
  </si>
  <si>
    <t>Instructional Staff Training Services (2230)</t>
  </si>
  <si>
    <t>Staff Training - Regular Education</t>
  </si>
  <si>
    <t>(1) Salaries - Staff Training - Reg. Ed.</t>
  </si>
  <si>
    <t>0031760</t>
  </si>
  <si>
    <t>Instructional Staff Services - Instructional Staff Training Services</t>
  </si>
  <si>
    <t>(b) Staff Instructors</t>
  </si>
  <si>
    <t>0031770</t>
  </si>
  <si>
    <t>Staff Instructors</t>
  </si>
  <si>
    <t>(c) Specialists</t>
  </si>
  <si>
    <t>0031780</t>
  </si>
  <si>
    <t>0031790</t>
  </si>
  <si>
    <t>0031800</t>
  </si>
  <si>
    <t>(f) Stipend Pay</t>
  </si>
  <si>
    <t>0031810</t>
  </si>
  <si>
    <t>Stipend Pay</t>
  </si>
  <si>
    <t>(2) Purchased Professional and Tech Svcs</t>
  </si>
  <si>
    <t>0031820</t>
  </si>
  <si>
    <t>Purchased Professional and Tech Svcs</t>
  </si>
  <si>
    <t>0031835</t>
  </si>
  <si>
    <t>0031845</t>
  </si>
  <si>
    <t>0031855</t>
  </si>
  <si>
    <t>0031870</t>
  </si>
  <si>
    <t>0031880</t>
  </si>
  <si>
    <t>0031895</t>
  </si>
  <si>
    <t>0031905</t>
  </si>
  <si>
    <t>0031915</t>
  </si>
  <si>
    <t>0031930</t>
  </si>
  <si>
    <t>0031940</t>
  </si>
  <si>
    <t>0031950</t>
  </si>
  <si>
    <t>0031960</t>
  </si>
  <si>
    <t>0031975</t>
  </si>
  <si>
    <t>0031985</t>
  </si>
  <si>
    <t>0032030</t>
  </si>
  <si>
    <t>0032040</t>
  </si>
  <si>
    <t>0032050</t>
  </si>
  <si>
    <t>0032065</t>
  </si>
  <si>
    <t>0032075</t>
  </si>
  <si>
    <t>0032085</t>
  </si>
  <si>
    <t>(e) Educational Reimbursement</t>
  </si>
  <si>
    <t>0032095</t>
  </si>
  <si>
    <t>Educational Reimbursement</t>
  </si>
  <si>
    <t>(f) Unemployment Compensation</t>
  </si>
  <si>
    <t>0032105</t>
  </si>
  <si>
    <t>(g) Workmen's Compensation</t>
  </si>
  <si>
    <t>0032115</t>
  </si>
  <si>
    <t>(h) Health Benefits (retirees)</t>
  </si>
  <si>
    <t>0032125</t>
  </si>
  <si>
    <t>(i) Sick Leave Severance Pay</t>
  </si>
  <si>
    <t>0032135</t>
  </si>
  <si>
    <t>(j) Annual Leave Severance Pay</t>
  </si>
  <si>
    <t>0032145</t>
  </si>
  <si>
    <t>(k) Other Employee Benefits</t>
  </si>
  <si>
    <t>0032155</t>
  </si>
  <si>
    <t>Staff Training - Sp. Ed. - Special Needs</t>
  </si>
  <si>
    <t>(1) Salaries - Staff Training - Sp. Ed.</t>
  </si>
  <si>
    <t>0032205</t>
  </si>
  <si>
    <t>Instructional Staff Services -Staff Training - Sp. Ed.</t>
  </si>
  <si>
    <t>0032215</t>
  </si>
  <si>
    <t>0032225</t>
  </si>
  <si>
    <t>0032235</t>
  </si>
  <si>
    <t>0032245</t>
  </si>
  <si>
    <t>0032255</t>
  </si>
  <si>
    <t>0032265</t>
  </si>
  <si>
    <t>0032280</t>
  </si>
  <si>
    <t>0032290</t>
  </si>
  <si>
    <t>0032300</t>
  </si>
  <si>
    <t>0032315</t>
  </si>
  <si>
    <t>0032325</t>
  </si>
  <si>
    <t>0032340</t>
  </si>
  <si>
    <t>0032350</t>
  </si>
  <si>
    <t>0032360</t>
  </si>
  <si>
    <t>0032375</t>
  </si>
  <si>
    <t>0032385</t>
  </si>
  <si>
    <t>0032395</t>
  </si>
  <si>
    <t>0032405</t>
  </si>
  <si>
    <t>0032420</t>
  </si>
  <si>
    <t>0032430</t>
  </si>
  <si>
    <t>0032555</t>
  </si>
  <si>
    <t>0032565</t>
  </si>
  <si>
    <t>0032575</t>
  </si>
  <si>
    <t>0032590</t>
  </si>
  <si>
    <t>0032600</t>
  </si>
  <si>
    <t>0032610</t>
  </si>
  <si>
    <t>0032620</t>
  </si>
  <si>
    <t>0032630</t>
  </si>
  <si>
    <t>0032640</t>
  </si>
  <si>
    <t>0032650</t>
  </si>
  <si>
    <t>0032660</t>
  </si>
  <si>
    <t>0032670</t>
  </si>
  <si>
    <t>0032680</t>
  </si>
  <si>
    <t>Staff Training - Gifted and Talented Prog</t>
  </si>
  <si>
    <t>(1) Salaries - Staff Training - G/T Prog</t>
  </si>
  <si>
    <t>0032745</t>
  </si>
  <si>
    <t>Instructional Staff Services -Staff Training - G/T</t>
  </si>
  <si>
    <t>0032755</t>
  </si>
  <si>
    <t>0032765</t>
  </si>
  <si>
    <t>0032775</t>
  </si>
  <si>
    <t>0032785</t>
  </si>
  <si>
    <t>0032795</t>
  </si>
  <si>
    <t>0032805</t>
  </si>
  <si>
    <t>0032820</t>
  </si>
  <si>
    <t>0032830</t>
  </si>
  <si>
    <t>0032840</t>
  </si>
  <si>
    <t>0032855</t>
  </si>
  <si>
    <t>0032865</t>
  </si>
  <si>
    <t>0032880</t>
  </si>
  <si>
    <t>0032890</t>
  </si>
  <si>
    <t>0032900</t>
  </si>
  <si>
    <t>0032915</t>
  </si>
  <si>
    <t>0032925</t>
  </si>
  <si>
    <t>0032935</t>
  </si>
  <si>
    <t>0032945</t>
  </si>
  <si>
    <t>0032960</t>
  </si>
  <si>
    <t>0032970</t>
  </si>
  <si>
    <t>0033010</t>
  </si>
  <si>
    <t>0033020</t>
  </si>
  <si>
    <t>0033030</t>
  </si>
  <si>
    <t>0033045</t>
  </si>
  <si>
    <t>0033055</t>
  </si>
  <si>
    <t>0033065</t>
  </si>
  <si>
    <t>0033075</t>
  </si>
  <si>
    <t>0033085</t>
  </si>
  <si>
    <t>0033095</t>
  </si>
  <si>
    <t>0033105</t>
  </si>
  <si>
    <t>0033115</t>
  </si>
  <si>
    <t>0033125</t>
  </si>
  <si>
    <t>0033135</t>
  </si>
  <si>
    <t>Staff Training - Other Special Prog -</t>
  </si>
  <si>
    <t>ESSA/NCLB, Bilingual,Headstart and</t>
  </si>
  <si>
    <t>Early Childhood Prog</t>
  </si>
  <si>
    <t>(1) Salaries</t>
  </si>
  <si>
    <t>0033205</t>
  </si>
  <si>
    <t>Instructional Staff Services -Staff Training - Other Special Programs</t>
  </si>
  <si>
    <t>0033215</t>
  </si>
  <si>
    <t>0033225</t>
  </si>
  <si>
    <t>0033235</t>
  </si>
  <si>
    <t>0033245</t>
  </si>
  <si>
    <t>0033255</t>
  </si>
  <si>
    <t>0033265</t>
  </si>
  <si>
    <t>0033280</t>
  </si>
  <si>
    <t>0033290</t>
  </si>
  <si>
    <t>0033300</t>
  </si>
  <si>
    <t>0033315</t>
  </si>
  <si>
    <t>0033325</t>
  </si>
  <si>
    <t>0033340</t>
  </si>
  <si>
    <t>0033350</t>
  </si>
  <si>
    <t>0033360</t>
  </si>
  <si>
    <t>0033375</t>
  </si>
  <si>
    <t>0033385</t>
  </si>
  <si>
    <t>0033395</t>
  </si>
  <si>
    <t>0033405</t>
  </si>
  <si>
    <t>0033420</t>
  </si>
  <si>
    <t>0033430</t>
  </si>
  <si>
    <t>0033480</t>
  </si>
  <si>
    <t>0033490</t>
  </si>
  <si>
    <t>0033500</t>
  </si>
  <si>
    <t>0033515</t>
  </si>
  <si>
    <t>0033525</t>
  </si>
  <si>
    <t>0033535</t>
  </si>
  <si>
    <t>0033545</t>
  </si>
  <si>
    <t>0033555</t>
  </si>
  <si>
    <t>0033565</t>
  </si>
  <si>
    <t>0033575</t>
  </si>
  <si>
    <t>0033585</t>
  </si>
  <si>
    <t>0033595</t>
  </si>
  <si>
    <t>0033605</t>
  </si>
  <si>
    <t>Staff Training - Career &amp; Tech Ed. Prog</t>
  </si>
  <si>
    <t>0033665</t>
  </si>
  <si>
    <t>Instructional Staff Services -Staff Training - CTE Programs</t>
  </si>
  <si>
    <t>0033675</t>
  </si>
  <si>
    <t>0033685</t>
  </si>
  <si>
    <t>0033695</t>
  </si>
  <si>
    <t>0033705</t>
  </si>
  <si>
    <t>0033715</t>
  </si>
  <si>
    <t>0033725</t>
  </si>
  <si>
    <t>0033740</t>
  </si>
  <si>
    <t>0033750</t>
  </si>
  <si>
    <t>0033760</t>
  </si>
  <si>
    <t>0033775</t>
  </si>
  <si>
    <t>0033785</t>
  </si>
  <si>
    <t>0033800</t>
  </si>
  <si>
    <t>0033810</t>
  </si>
  <si>
    <t>0033820</t>
  </si>
  <si>
    <t>0033835</t>
  </si>
  <si>
    <t>0033845</t>
  </si>
  <si>
    <t>0033855</t>
  </si>
  <si>
    <t>0033865</t>
  </si>
  <si>
    <t>0033880</t>
  </si>
  <si>
    <t>0033890</t>
  </si>
  <si>
    <t>0033950</t>
  </si>
  <si>
    <t>0033960</t>
  </si>
  <si>
    <t>0033970</t>
  </si>
  <si>
    <t>0033985</t>
  </si>
  <si>
    <t>0033995</t>
  </si>
  <si>
    <t>0034005</t>
  </si>
  <si>
    <t>0034015</t>
  </si>
  <si>
    <t>0034025</t>
  </si>
  <si>
    <t>0034035</t>
  </si>
  <si>
    <t>0034045</t>
  </si>
  <si>
    <t>0034055</t>
  </si>
  <si>
    <t>0034065</t>
  </si>
  <si>
    <t>0034075</t>
  </si>
  <si>
    <t>Staff Training - Adult Education Program</t>
  </si>
  <si>
    <t>0034135</t>
  </si>
  <si>
    <t>Instructional Staff Services -Staff Training - Adult Ed Programs</t>
  </si>
  <si>
    <t>0034145</t>
  </si>
  <si>
    <t>0034155</t>
  </si>
  <si>
    <t>0034165</t>
  </si>
  <si>
    <t>0034175</t>
  </si>
  <si>
    <t>0034185</t>
  </si>
  <si>
    <t>0034195</t>
  </si>
  <si>
    <t>0034210</t>
  </si>
  <si>
    <t>0034220</t>
  </si>
  <si>
    <t>0034230</t>
  </si>
  <si>
    <t>0034245</t>
  </si>
  <si>
    <t>0034255</t>
  </si>
  <si>
    <t>0034270</t>
  </si>
  <si>
    <t>0034280</t>
  </si>
  <si>
    <t>0034290</t>
  </si>
  <si>
    <t>0034305</t>
  </si>
  <si>
    <t>0034315</t>
  </si>
  <si>
    <t>0034325</t>
  </si>
  <si>
    <t>0034335</t>
  </si>
  <si>
    <t>0034350</t>
  </si>
  <si>
    <t>0034360</t>
  </si>
  <si>
    <t>0034410</t>
  </si>
  <si>
    <t>0034420</t>
  </si>
  <si>
    <t>0034430</t>
  </si>
  <si>
    <t>0034445</t>
  </si>
  <si>
    <t>0034455</t>
  </si>
  <si>
    <t>0034465</t>
  </si>
  <si>
    <t>0034475</t>
  </si>
  <si>
    <t>0034485</t>
  </si>
  <si>
    <t>0034495</t>
  </si>
  <si>
    <t>0034505</t>
  </si>
  <si>
    <t>0034515</t>
  </si>
  <si>
    <t>0034525</t>
  </si>
  <si>
    <t>0034535</t>
  </si>
  <si>
    <t>Staff Training - Other Education Program</t>
  </si>
  <si>
    <t>0034585</t>
  </si>
  <si>
    <t>Instructional Staff Services -Staff Training - Other Programs</t>
  </si>
  <si>
    <t>0034595</t>
  </si>
  <si>
    <t>0034605</t>
  </si>
  <si>
    <t>0034615</t>
  </si>
  <si>
    <t>0034625</t>
  </si>
  <si>
    <t>0034635</t>
  </si>
  <si>
    <t>0034645</t>
  </si>
  <si>
    <t>0034660</t>
  </si>
  <si>
    <t>0034670</t>
  </si>
  <si>
    <t>0034680</t>
  </si>
  <si>
    <t>0034695</t>
  </si>
  <si>
    <t>0034705</t>
  </si>
  <si>
    <t>0034720</t>
  </si>
  <si>
    <t>0034730</t>
  </si>
  <si>
    <t>0034740</t>
  </si>
  <si>
    <t>0034755</t>
  </si>
  <si>
    <t>0034765</t>
  </si>
  <si>
    <t>0034775</t>
  </si>
  <si>
    <t>0034785</t>
  </si>
  <si>
    <t>0034800</t>
  </si>
  <si>
    <t>0034810</t>
  </si>
  <si>
    <t>0034870</t>
  </si>
  <si>
    <t>0034880</t>
  </si>
  <si>
    <t>0034890</t>
  </si>
  <si>
    <t>0034905</t>
  </si>
  <si>
    <t>0034915</t>
  </si>
  <si>
    <t>0034925</t>
  </si>
  <si>
    <t>0034935</t>
  </si>
  <si>
    <t>0034945</t>
  </si>
  <si>
    <t>0034955</t>
  </si>
  <si>
    <t>0034965</t>
  </si>
  <si>
    <t>0034975</t>
  </si>
  <si>
    <t>0034985</t>
  </si>
  <si>
    <t>0034995</t>
  </si>
  <si>
    <t>Library / Media Services (2250)</t>
  </si>
  <si>
    <t>School Library/Media Services</t>
  </si>
  <si>
    <t>(a) Dir/Super. - Cen. Library Svcs</t>
  </si>
  <si>
    <t>0035060</t>
  </si>
  <si>
    <t>Instructional Staff Services - Library/Media Services</t>
  </si>
  <si>
    <t>Dir/Super. - Cen. Library Svcs</t>
  </si>
  <si>
    <t>(b) Head Librarian/Librarian - Sch.</t>
  </si>
  <si>
    <t>0035070</t>
  </si>
  <si>
    <t>Head Librarian/Librarian - Sch.</t>
  </si>
  <si>
    <t>(c) Library Specialists</t>
  </si>
  <si>
    <t>0035080</t>
  </si>
  <si>
    <t>Library Specialists</t>
  </si>
  <si>
    <t>(d) Clerical/Secretarial</t>
  </si>
  <si>
    <t>0035090</t>
  </si>
  <si>
    <t>(e) Library/Media Aides</t>
  </si>
  <si>
    <t>0035100</t>
  </si>
  <si>
    <t>Library/Media Aides</t>
  </si>
  <si>
    <t>(f) Other Salaries</t>
  </si>
  <si>
    <t>0035110</t>
  </si>
  <si>
    <t>(g) Sabbatical Leave</t>
  </si>
  <si>
    <t>0035120</t>
  </si>
  <si>
    <t>0035130</t>
  </si>
  <si>
    <t>0035145</t>
  </si>
  <si>
    <t>0035155</t>
  </si>
  <si>
    <t>0035165</t>
  </si>
  <si>
    <t>0035180</t>
  </si>
  <si>
    <t>0035190</t>
  </si>
  <si>
    <t>0035205</t>
  </si>
  <si>
    <t>0035215</t>
  </si>
  <si>
    <t>(c) Books and Periodicals</t>
  </si>
  <si>
    <t>0035225</t>
  </si>
  <si>
    <t>(d) Other Supplies</t>
  </si>
  <si>
    <t>0035235</t>
  </si>
  <si>
    <t>0035250</t>
  </si>
  <si>
    <t>0035260</t>
  </si>
  <si>
    <t>0035270</t>
  </si>
  <si>
    <t>0035280</t>
  </si>
  <si>
    <t>0035295</t>
  </si>
  <si>
    <t>0035305</t>
  </si>
  <si>
    <t>Other Educational Media Services</t>
  </si>
  <si>
    <t>(a) Supervisors</t>
  </si>
  <si>
    <t>0035345</t>
  </si>
  <si>
    <t>Instructional Staff Services - Other Educational Media Services</t>
  </si>
  <si>
    <t>(b) Media-Based Teacher (Ed TV, CAI)</t>
  </si>
  <si>
    <t>0035355</t>
  </si>
  <si>
    <t>Media-Based Teacher (Ed TV, CAI)</t>
  </si>
  <si>
    <t>0035365</t>
  </si>
  <si>
    <t>0035375</t>
  </si>
  <si>
    <t>(e) Other Salaries - Ed. Media Svcs</t>
  </si>
  <si>
    <t>0035385</t>
  </si>
  <si>
    <t>Other Salaries - Ed. Media Svcs</t>
  </si>
  <si>
    <t>(f) Sabbatical Leave</t>
  </si>
  <si>
    <t>0035395</t>
  </si>
  <si>
    <t>0035405</t>
  </si>
  <si>
    <t>0035420</t>
  </si>
  <si>
    <t>0035430</t>
  </si>
  <si>
    <t>0035440</t>
  </si>
  <si>
    <t>0035455</t>
  </si>
  <si>
    <t>0035465</t>
  </si>
  <si>
    <t>0035480</t>
  </si>
  <si>
    <t>0035490</t>
  </si>
  <si>
    <t>0035500</t>
  </si>
  <si>
    <t>0035510</t>
  </si>
  <si>
    <t>0035525</t>
  </si>
  <si>
    <t>0035535</t>
  </si>
  <si>
    <t>0035545</t>
  </si>
  <si>
    <t>0035555</t>
  </si>
  <si>
    <t>0035570</t>
  </si>
  <si>
    <t>0035580</t>
  </si>
  <si>
    <t>(8) Employee Benefits (Lib./Media Svcs)</t>
  </si>
  <si>
    <t>0035610</t>
  </si>
  <si>
    <t>0035620</t>
  </si>
  <si>
    <t>0035630</t>
  </si>
  <si>
    <t>0035645</t>
  </si>
  <si>
    <t>0035655</t>
  </si>
  <si>
    <t>0035665</t>
  </si>
  <si>
    <t>0035675</t>
  </si>
  <si>
    <t>0035685</t>
  </si>
  <si>
    <t>0035695</t>
  </si>
  <si>
    <t>0035705</t>
  </si>
  <si>
    <t>0035715</t>
  </si>
  <si>
    <t>0035725</t>
  </si>
  <si>
    <t>Other Instructional Staff Services (2290)</t>
  </si>
  <si>
    <t>Salaries - All Other Instructional</t>
  </si>
  <si>
    <t>0035785</t>
  </si>
  <si>
    <t>Other Instructional Staff Services</t>
  </si>
  <si>
    <t>0035795</t>
  </si>
  <si>
    <t>0035805</t>
  </si>
  <si>
    <t>0035815</t>
  </si>
  <si>
    <t>(5) Substitute/Temporary Employees</t>
  </si>
  <si>
    <t>0035825</t>
  </si>
  <si>
    <t>0035835</t>
  </si>
  <si>
    <t>0035845</t>
  </si>
  <si>
    <t>0035860</t>
  </si>
  <si>
    <t>0035870</t>
  </si>
  <si>
    <t>0035880</t>
  </si>
  <si>
    <t>0035895</t>
  </si>
  <si>
    <t>0035905</t>
  </si>
  <si>
    <t>0035920</t>
  </si>
  <si>
    <t>0035930</t>
  </si>
  <si>
    <t>0035940</t>
  </si>
  <si>
    <t>0035955</t>
  </si>
  <si>
    <t>0035965</t>
  </si>
  <si>
    <t>0035975</t>
  </si>
  <si>
    <t>0035985</t>
  </si>
  <si>
    <t>0036000</t>
  </si>
  <si>
    <t>0036010</t>
  </si>
  <si>
    <t>0036070</t>
  </si>
  <si>
    <t>0036080</t>
  </si>
  <si>
    <t>0036090</t>
  </si>
  <si>
    <t>0036105</t>
  </si>
  <si>
    <t>0036115</t>
  </si>
  <si>
    <t>0036125</t>
  </si>
  <si>
    <t>0036135</t>
  </si>
  <si>
    <t>0036145</t>
  </si>
  <si>
    <t>0036155</t>
  </si>
  <si>
    <t>0036165</t>
  </si>
  <si>
    <t>0036175</t>
  </si>
  <si>
    <t>0036185</t>
  </si>
  <si>
    <t>TOTAL B. Instructional Staff Services</t>
  </si>
  <si>
    <t>Board of Education Services</t>
  </si>
  <si>
    <t>(1) Board Members</t>
  </si>
  <si>
    <t>0036840</t>
  </si>
  <si>
    <t>Board Members</t>
  </si>
  <si>
    <t>(2) Board Attorneys</t>
  </si>
  <si>
    <t>0036850</t>
  </si>
  <si>
    <t>Board Attorneys</t>
  </si>
  <si>
    <t>(3) Board Secretary</t>
  </si>
  <si>
    <t>0036860</t>
  </si>
  <si>
    <t>Board Secretary</t>
  </si>
  <si>
    <t>(4) Supervisors - Tax Assess &amp; Collect</t>
  </si>
  <si>
    <t>0036870</t>
  </si>
  <si>
    <t>Supervisors - Tax Assess &amp; Collect</t>
  </si>
  <si>
    <t>(5) Clerical/Sec. - Tax Assess &amp; Collect</t>
  </si>
  <si>
    <t>0036880</t>
  </si>
  <si>
    <t>Clerical/Sec. - Tax Assess &amp; Collect</t>
  </si>
  <si>
    <t>(6) Other Tax Assess &amp; Collect Salaries</t>
  </si>
  <si>
    <t>0036890</t>
  </si>
  <si>
    <t>Other Tax Assess &amp; Collect Salaries</t>
  </si>
  <si>
    <t>(7) Sub/Temp Employees - Board of Ed Svcs</t>
  </si>
  <si>
    <t>0036900</t>
  </si>
  <si>
    <t>Sub/Temp Employees - Board of Ed Svcs</t>
  </si>
  <si>
    <t>(8) Other Board of Ed. Svcs Salaries</t>
  </si>
  <si>
    <t>0036910</t>
  </si>
  <si>
    <t>Other Board of Ed. Svcs Salaries</t>
  </si>
  <si>
    <t>(9) Sabbatial Leave</t>
  </si>
  <si>
    <t>0036920</t>
  </si>
  <si>
    <t>Sabbatial Leave</t>
  </si>
  <si>
    <t>(1) Purchased Official / Admin. Services</t>
  </si>
  <si>
    <t>(a) Assessor Fees</t>
  </si>
  <si>
    <t>0036940</t>
  </si>
  <si>
    <t>Assessor Fees</t>
  </si>
  <si>
    <t>(b) Sheriff Tax Collection Fees</t>
  </si>
  <si>
    <t>0036950</t>
  </si>
  <si>
    <t>Sheriff Tax Collection Fees</t>
  </si>
  <si>
    <t>(c) Pension Accumulation Fund</t>
  </si>
  <si>
    <t>0036960</t>
  </si>
  <si>
    <t>Pension Accumulation Fund</t>
  </si>
  <si>
    <t>(d) Sales Tax Collection Fees</t>
  </si>
  <si>
    <t>0036970</t>
  </si>
  <si>
    <t>Sales Tax Collection Fees</t>
  </si>
  <si>
    <t>(e) State Tax Commission Fees</t>
  </si>
  <si>
    <t>0036980</t>
  </si>
  <si>
    <t>State Tax Commission Fees</t>
  </si>
  <si>
    <t>(f) Election Fees</t>
  </si>
  <si>
    <t>0036990</t>
  </si>
  <si>
    <t>Election Fees</t>
  </si>
  <si>
    <t>(g) Management Consultants</t>
  </si>
  <si>
    <t>0037000</t>
  </si>
  <si>
    <t>Management Consultants</t>
  </si>
  <si>
    <t>(h) Other Service Fees</t>
  </si>
  <si>
    <t>0037010</t>
  </si>
  <si>
    <t>Other Service Fees</t>
  </si>
  <si>
    <t>(2) Other Purchased Professional Services</t>
  </si>
  <si>
    <t>(a) Legal Services</t>
  </si>
  <si>
    <t>0037025</t>
  </si>
  <si>
    <t>(b) Audit Services</t>
  </si>
  <si>
    <t>0037035</t>
  </si>
  <si>
    <t>Audit Services</t>
  </si>
  <si>
    <t>(3) Other Purchased Prof. and Tech. Svcs</t>
  </si>
  <si>
    <t>0037045</t>
  </si>
  <si>
    <t>Other Purchased Prof. and Tech. Svcs</t>
  </si>
  <si>
    <t>0037060</t>
  </si>
  <si>
    <t>(2) Other Purchased Property Services</t>
  </si>
  <si>
    <t>0037070</t>
  </si>
  <si>
    <t>(1) Insurance (Other than Emp. Benefits)</t>
  </si>
  <si>
    <t>(a) Liability Insurance</t>
  </si>
  <si>
    <t>0037090</t>
  </si>
  <si>
    <t>Liability Insurance</t>
  </si>
  <si>
    <t>(b) Errors and Omissions</t>
  </si>
  <si>
    <t>0037100</t>
  </si>
  <si>
    <t>Errors and Omissions</t>
  </si>
  <si>
    <t>(c) Faithful Performance</t>
  </si>
  <si>
    <t>0037110</t>
  </si>
  <si>
    <t>Faithful Performance</t>
  </si>
  <si>
    <t>(2) Communications (phone/internet/post)</t>
  </si>
  <si>
    <t>0037120</t>
  </si>
  <si>
    <t>Communications</t>
  </si>
  <si>
    <t>(3) Advertising/Public Notices/Bd Minutes</t>
  </si>
  <si>
    <t>0037130</t>
  </si>
  <si>
    <t>Advertising/Public Notices/Bd Minutes</t>
  </si>
  <si>
    <t>(4) Travel</t>
  </si>
  <si>
    <t>(a) Mileage Allowance - Tax A &amp; C Svcs</t>
  </si>
  <si>
    <t>0037140</t>
  </si>
  <si>
    <t>Mileage Allowance - Tax A &amp; C Svcs</t>
  </si>
  <si>
    <t>(b) Mileage Allowance - Other</t>
  </si>
  <si>
    <t>0037145</t>
  </si>
  <si>
    <t>Mileage Allowance - Other</t>
  </si>
  <si>
    <t>(c) Travel Expense Reimburse. - Tax A &amp; C</t>
  </si>
  <si>
    <t>0037150</t>
  </si>
  <si>
    <t>Travel Expense Reimburse. - Tax A &amp; C</t>
  </si>
  <si>
    <t>(d) Travel Expense Reimbursement - Other</t>
  </si>
  <si>
    <t>0037155</t>
  </si>
  <si>
    <t>Travel Expense Reimbursement - Other</t>
  </si>
  <si>
    <t>(5) Other Purchased Services</t>
  </si>
  <si>
    <t>0037165</t>
  </si>
  <si>
    <t>(1) Technology-Related Supplies - Tax A &amp; C</t>
  </si>
  <si>
    <t>0037175</t>
  </si>
  <si>
    <t>Technology-Related Supplies - Tax A &amp; C</t>
  </si>
  <si>
    <t>(2) Technology-Related Supplies - Other</t>
  </si>
  <si>
    <t>0037180</t>
  </si>
  <si>
    <t>Technology-Related Supplies - Other</t>
  </si>
  <si>
    <t>(3) Materials and Supplies - Tax A &amp; C Svcs</t>
  </si>
  <si>
    <t>0037185</t>
  </si>
  <si>
    <t>Materials and Supplies - Tax A &amp; C Svcs</t>
  </si>
  <si>
    <t>(4) Materials and Supplies - Other</t>
  </si>
  <si>
    <t>0037190</t>
  </si>
  <si>
    <t>Materials and Supplies - Other</t>
  </si>
  <si>
    <t>(5) Other Supplies - Tax A &amp; C Svcs</t>
  </si>
  <si>
    <t>0037195</t>
  </si>
  <si>
    <t>Other Supplies - Tax A &amp; C Svcs</t>
  </si>
  <si>
    <t>(6) Other Supplies - Other</t>
  </si>
  <si>
    <t>0037200</t>
  </si>
  <si>
    <t>Other Supplies - Other</t>
  </si>
  <si>
    <t>0037215</t>
  </si>
  <si>
    <t>0037225</t>
  </si>
  <si>
    <t>0037235</t>
  </si>
  <si>
    <t>0037245</t>
  </si>
  <si>
    <t>Debt Service and Miscellaneous</t>
  </si>
  <si>
    <t>(1) Dues and Fees</t>
  </si>
  <si>
    <t>0037260</t>
  </si>
  <si>
    <t>(2) Judgements</t>
  </si>
  <si>
    <t>0037270</t>
  </si>
  <si>
    <t>Judgements</t>
  </si>
  <si>
    <t>(3) Miscellaneous Non-Public Expenditures</t>
  </si>
  <si>
    <t>0037280</t>
  </si>
  <si>
    <t>(4) Miscellaneous Expenditures</t>
  </si>
  <si>
    <t>0037290</t>
  </si>
  <si>
    <t>Miscellaneous Expenditures</t>
  </si>
  <si>
    <t>0037325</t>
  </si>
  <si>
    <t>0037335</t>
  </si>
  <si>
    <t>0037345</t>
  </si>
  <si>
    <t>0037360</t>
  </si>
  <si>
    <t>0037370</t>
  </si>
  <si>
    <t>0037380</t>
  </si>
  <si>
    <t>0037390</t>
  </si>
  <si>
    <t>0037400</t>
  </si>
  <si>
    <t>0037410</t>
  </si>
  <si>
    <t>0037420</t>
  </si>
  <si>
    <t>0037430</t>
  </si>
  <si>
    <t>0037440</t>
  </si>
  <si>
    <t>Executive Administrative Services</t>
  </si>
  <si>
    <t>(1) Superintendent</t>
  </si>
  <si>
    <t>0037505</t>
  </si>
  <si>
    <t>Superintendent</t>
  </si>
  <si>
    <t>(2) Clerical/Sec. - Office of Super.</t>
  </si>
  <si>
    <t>0037515</t>
  </si>
  <si>
    <t>Clerical/Sec. - Office of Super.</t>
  </si>
  <si>
    <t>(3) Deputy/Assoc./Assist. Superintendents</t>
  </si>
  <si>
    <t>0037525</t>
  </si>
  <si>
    <t>Deputy/Assoc./Assist. Superintendents</t>
  </si>
  <si>
    <t>(4) Clerical/Sec. - Dep/Assoc/Assist Sup</t>
  </si>
  <si>
    <t>0037535</t>
  </si>
  <si>
    <t>Clerical/Sec. - Dep/Assoc/Assist Sup</t>
  </si>
  <si>
    <t>(5) Other Salaries - Exec. Admin. Svcs</t>
  </si>
  <si>
    <t>0037545</t>
  </si>
  <si>
    <t>Other Salaries - Exec. Admin. Svcs</t>
  </si>
  <si>
    <t>0037555</t>
  </si>
  <si>
    <t>0037565</t>
  </si>
  <si>
    <t>0037580</t>
  </si>
  <si>
    <t>0037590</t>
  </si>
  <si>
    <t>0037600</t>
  </si>
  <si>
    <t>(1) Communications (phone/internet/post)</t>
  </si>
  <si>
    <t>0037615</t>
  </si>
  <si>
    <t>(2) Travel</t>
  </si>
  <si>
    <t>(a) Mileage Allowance</t>
  </si>
  <si>
    <t>0037630</t>
  </si>
  <si>
    <t>Mileage Allowance</t>
  </si>
  <si>
    <t>(b) Travel Expense Reimbursement</t>
  </si>
  <si>
    <t>0037640</t>
  </si>
  <si>
    <t>(3) Interagency Purchased Services From</t>
  </si>
  <si>
    <t>(a) LEA W/I State (No Tuition/Trans)</t>
  </si>
  <si>
    <t>0037655</t>
  </si>
  <si>
    <t>LEA W/I State (No Tuition/Trans)</t>
  </si>
  <si>
    <t>(b) LEA O/S State (No Tuition/Trans)</t>
  </si>
  <si>
    <t>0037665</t>
  </si>
  <si>
    <t>LEA O/S State (No Tuition/Trans)</t>
  </si>
  <si>
    <t>0037675</t>
  </si>
  <si>
    <t>0037690</t>
  </si>
  <si>
    <t>0037700</t>
  </si>
  <si>
    <t>0037710</t>
  </si>
  <si>
    <t>0037725</t>
  </si>
  <si>
    <t>0037735</t>
  </si>
  <si>
    <t>(3) All Other Equipment (Including Veh)</t>
  </si>
  <si>
    <t>0037745</t>
  </si>
  <si>
    <t>0037755</t>
  </si>
  <si>
    <t>0037770</t>
  </si>
  <si>
    <t>0037780</t>
  </si>
  <si>
    <t>0037820</t>
  </si>
  <si>
    <t>0037830</t>
  </si>
  <si>
    <t>0037840</t>
  </si>
  <si>
    <t>0037855</t>
  </si>
  <si>
    <t>0037865</t>
  </si>
  <si>
    <t>0037875</t>
  </si>
  <si>
    <t>0037885</t>
  </si>
  <si>
    <t>0037895</t>
  </si>
  <si>
    <t>0037905</t>
  </si>
  <si>
    <t>0037915</t>
  </si>
  <si>
    <t>0037925</t>
  </si>
  <si>
    <t>0037935</t>
  </si>
  <si>
    <t>TOTAL C. General Administration</t>
  </si>
  <si>
    <t>Principals</t>
  </si>
  <si>
    <t>0038470</t>
  </si>
  <si>
    <t>Assistant Principals</t>
  </si>
  <si>
    <t>0038480</t>
  </si>
  <si>
    <t>School Chief Exec Officer (Charter Sch)</t>
  </si>
  <si>
    <t>0038490</t>
  </si>
  <si>
    <t>Other School Administrators</t>
  </si>
  <si>
    <t>0038500</t>
  </si>
  <si>
    <t>0038510</t>
  </si>
  <si>
    <t>Other Regular Salaries</t>
  </si>
  <si>
    <t>0038520</t>
  </si>
  <si>
    <t>0038530</t>
  </si>
  <si>
    <t>Other Salaries - School Administration</t>
  </si>
  <si>
    <t>0038540</t>
  </si>
  <si>
    <t>0038550</t>
  </si>
  <si>
    <t>0038570</t>
  </si>
  <si>
    <t>0038615</t>
  </si>
  <si>
    <t>0038625</t>
  </si>
  <si>
    <t>0038635</t>
  </si>
  <si>
    <t>Communications (phone, internet, postage)</t>
  </si>
  <si>
    <t>0038650</t>
  </si>
  <si>
    <t>0038660</t>
  </si>
  <si>
    <t>0038670</t>
  </si>
  <si>
    <t>0038685</t>
  </si>
  <si>
    <t>0038695</t>
  </si>
  <si>
    <t>0038705</t>
  </si>
  <si>
    <t>0038720</t>
  </si>
  <si>
    <t>0038730</t>
  </si>
  <si>
    <t>All Other Equipment (Including Veh)</t>
  </si>
  <si>
    <t>0038740</t>
  </si>
  <si>
    <t>0038750</t>
  </si>
  <si>
    <t>Dues and Fees (Southern Association, etc)</t>
  </si>
  <si>
    <t>0038765</t>
  </si>
  <si>
    <t>0038775</t>
  </si>
  <si>
    <t>0038785</t>
  </si>
  <si>
    <t>0038845</t>
  </si>
  <si>
    <t>0038855</t>
  </si>
  <si>
    <t>0038865</t>
  </si>
  <si>
    <t>0038880</t>
  </si>
  <si>
    <t>0038890</t>
  </si>
  <si>
    <t>0038900</t>
  </si>
  <si>
    <t>0038910</t>
  </si>
  <si>
    <t>0038920</t>
  </si>
  <si>
    <t>0038930</t>
  </si>
  <si>
    <t>0038940</t>
  </si>
  <si>
    <t>0038950</t>
  </si>
  <si>
    <t>0038960</t>
  </si>
  <si>
    <t>TOTAL D. School Administration</t>
  </si>
  <si>
    <t>Fiscal Services (Internal Auditing, Budget,</t>
  </si>
  <si>
    <t>Payroll, Financial, Property Accounting, ect)</t>
  </si>
  <si>
    <t>(1) Bus. Manager/CFO/Fiscal Supervisors</t>
  </si>
  <si>
    <t>0039540</t>
  </si>
  <si>
    <t>Bus. Manager/CFO/Fiscal Supervisors</t>
  </si>
  <si>
    <t>(2) Clerical/Secretarial</t>
  </si>
  <si>
    <t>0039550</t>
  </si>
  <si>
    <t>(3) Accountant/Auditor/Budget Analyst</t>
  </si>
  <si>
    <t>0039560</t>
  </si>
  <si>
    <t>Accountant/Auditor/Budget Analyst</t>
  </si>
  <si>
    <t>(4) Other Salaries - Fiscal Services</t>
  </si>
  <si>
    <t>0039570</t>
  </si>
  <si>
    <t>Other Salaries - Fiscal Services</t>
  </si>
  <si>
    <t>(1) Technical Services (Bank Charges)</t>
  </si>
  <si>
    <t>0039585</t>
  </si>
  <si>
    <t>Technical Services</t>
  </si>
  <si>
    <t>(2) Other Purchased Prof. and Tech. Svcs</t>
  </si>
  <si>
    <t>0039595</t>
  </si>
  <si>
    <t>0039610</t>
  </si>
  <si>
    <t>0039620</t>
  </si>
  <si>
    <t>0039630</t>
  </si>
  <si>
    <t>0039645</t>
  </si>
  <si>
    <t>(2) Advertising and Public Notices</t>
  </si>
  <si>
    <t>0039655</t>
  </si>
  <si>
    <t>Advertising and Public Notices</t>
  </si>
  <si>
    <t>0039665</t>
  </si>
  <si>
    <t>0039675</t>
  </si>
  <si>
    <t>0039690</t>
  </si>
  <si>
    <t>0039700</t>
  </si>
  <si>
    <t>0039710</t>
  </si>
  <si>
    <t>0039725</t>
  </si>
  <si>
    <t>0039735</t>
  </si>
  <si>
    <t>0039745</t>
  </si>
  <si>
    <t>0039755</t>
  </si>
  <si>
    <t>(1) Interest (short-term loans)</t>
  </si>
  <si>
    <t>0039770</t>
  </si>
  <si>
    <t>Interest (short-term loans)</t>
  </si>
  <si>
    <t>(2) Miscellaneous Expenditures</t>
  </si>
  <si>
    <t>0039780</t>
  </si>
  <si>
    <t>0039820</t>
  </si>
  <si>
    <t>0039830</t>
  </si>
  <si>
    <t>0039840</t>
  </si>
  <si>
    <t>0039855</t>
  </si>
  <si>
    <t>0039865</t>
  </si>
  <si>
    <t>0039875</t>
  </si>
  <si>
    <t>0039885</t>
  </si>
  <si>
    <t>0039895</t>
  </si>
  <si>
    <t>0039905</t>
  </si>
  <si>
    <t>0039915</t>
  </si>
  <si>
    <t>0039925</t>
  </si>
  <si>
    <t>0039935</t>
  </si>
  <si>
    <t>Purchasing Services</t>
  </si>
  <si>
    <t>(1) Purchasing Agents</t>
  </si>
  <si>
    <t>0039995</t>
  </si>
  <si>
    <t>Purchasing Agents</t>
  </si>
  <si>
    <t>0040005</t>
  </si>
  <si>
    <t>(3) Other Salaries - Purchasing Services</t>
  </si>
  <si>
    <t>0040015</t>
  </si>
  <si>
    <t>Other Salaries - Purchasing Services</t>
  </si>
  <si>
    <t>0040025</t>
  </si>
  <si>
    <t>0040040</t>
  </si>
  <si>
    <t>0040050</t>
  </si>
  <si>
    <t>0040060</t>
  </si>
  <si>
    <t>0040075</t>
  </si>
  <si>
    <t>0040085</t>
  </si>
  <si>
    <t>0040095</t>
  </si>
  <si>
    <t>0040105</t>
  </si>
  <si>
    <t>0040120</t>
  </si>
  <si>
    <t>0040130</t>
  </si>
  <si>
    <t>0040140</t>
  </si>
  <si>
    <t>0040155</t>
  </si>
  <si>
    <t>0040165</t>
  </si>
  <si>
    <t>0040175</t>
  </si>
  <si>
    <t>0040185</t>
  </si>
  <si>
    <t>0040195</t>
  </si>
  <si>
    <t>0040235</t>
  </si>
  <si>
    <t>0040245</t>
  </si>
  <si>
    <t>0040255</t>
  </si>
  <si>
    <t>0040270</t>
  </si>
  <si>
    <t>0040280</t>
  </si>
  <si>
    <t>0040290</t>
  </si>
  <si>
    <t>0040300</t>
  </si>
  <si>
    <t>0040310</t>
  </si>
  <si>
    <t>0040320</t>
  </si>
  <si>
    <t>0040330</t>
  </si>
  <si>
    <t>0040340</t>
  </si>
  <si>
    <t>0040350</t>
  </si>
  <si>
    <t>Warehousing and Distributing Services</t>
  </si>
  <si>
    <t>0040395</t>
  </si>
  <si>
    <t>0040405</t>
  </si>
  <si>
    <t>(3) Other Salaries - Warehouse/Distribute</t>
  </si>
  <si>
    <t>0040415</t>
  </si>
  <si>
    <t>Other Salaries - Warehouse/Distribute</t>
  </si>
  <si>
    <t>0040425</t>
  </si>
  <si>
    <t>0040440</t>
  </si>
  <si>
    <t>0040450</t>
  </si>
  <si>
    <t>0040460</t>
  </si>
  <si>
    <t>0040475</t>
  </si>
  <si>
    <t>0040485</t>
  </si>
  <si>
    <t>0040500</t>
  </si>
  <si>
    <t>0040510</t>
  </si>
  <si>
    <t>0040520</t>
  </si>
  <si>
    <t>0040535</t>
  </si>
  <si>
    <t>0040545</t>
  </si>
  <si>
    <t>0040555</t>
  </si>
  <si>
    <t>0040565</t>
  </si>
  <si>
    <t>0040575</t>
  </si>
  <si>
    <t>0040615</t>
  </si>
  <si>
    <t>0040625</t>
  </si>
  <si>
    <t>0040635</t>
  </si>
  <si>
    <t>0040650</t>
  </si>
  <si>
    <t>0040660</t>
  </si>
  <si>
    <t>0040670</t>
  </si>
  <si>
    <t>0040680</t>
  </si>
  <si>
    <t>0040690</t>
  </si>
  <si>
    <t>0040700</t>
  </si>
  <si>
    <t>0040710</t>
  </si>
  <si>
    <t>0040720</t>
  </si>
  <si>
    <t>0040730</t>
  </si>
  <si>
    <t>Printing, Publishing and Duplicating Svcs</t>
  </si>
  <si>
    <t>0040775</t>
  </si>
  <si>
    <t>0040785</t>
  </si>
  <si>
    <t>(3) Other Salaries - Print/Publish/Dup</t>
  </si>
  <si>
    <t>0040795</t>
  </si>
  <si>
    <t>Other Salaries - Print/Publish/Dup</t>
  </si>
  <si>
    <t>0040805</t>
  </si>
  <si>
    <t>0040820</t>
  </si>
  <si>
    <t>0040830</t>
  </si>
  <si>
    <t>0040840</t>
  </si>
  <si>
    <t>(1) Printing and Binding</t>
  </si>
  <si>
    <t>0040855</t>
  </si>
  <si>
    <t>Printing and Binding</t>
  </si>
  <si>
    <t>0040865</t>
  </si>
  <si>
    <t>0040875</t>
  </si>
  <si>
    <t>0040890</t>
  </si>
  <si>
    <t>0040900</t>
  </si>
  <si>
    <t>0040910</t>
  </si>
  <si>
    <t>0040925</t>
  </si>
  <si>
    <t>0040935</t>
  </si>
  <si>
    <t>0040945</t>
  </si>
  <si>
    <t>0040955</t>
  </si>
  <si>
    <t>0040965</t>
  </si>
  <si>
    <t>0040995</t>
  </si>
  <si>
    <t>0041005</t>
  </si>
  <si>
    <t>0041015</t>
  </si>
  <si>
    <t>0041030</t>
  </si>
  <si>
    <t>0041040</t>
  </si>
  <si>
    <t>0041050</t>
  </si>
  <si>
    <t>0041060</t>
  </si>
  <si>
    <t>0041070</t>
  </si>
  <si>
    <t>0041080</t>
  </si>
  <si>
    <t>0041090</t>
  </si>
  <si>
    <t>0041100</t>
  </si>
  <si>
    <t>0041110</t>
  </si>
  <si>
    <t>Other Business Services</t>
  </si>
  <si>
    <t>0041165</t>
  </si>
  <si>
    <t>0041175</t>
  </si>
  <si>
    <t>(3) Other Salaries</t>
  </si>
  <si>
    <t>0041185</t>
  </si>
  <si>
    <t>0041195</t>
  </si>
  <si>
    <t>0041210</t>
  </si>
  <si>
    <t>0041220</t>
  </si>
  <si>
    <t>0041230</t>
  </si>
  <si>
    <t>0041245</t>
  </si>
  <si>
    <t>0041255</t>
  </si>
  <si>
    <t>0041265</t>
  </si>
  <si>
    <t>0041280</t>
  </si>
  <si>
    <t>0041290</t>
  </si>
  <si>
    <t>0041300</t>
  </si>
  <si>
    <t>0041315</t>
  </si>
  <si>
    <t>0041325</t>
  </si>
  <si>
    <t>0041335</t>
  </si>
  <si>
    <t>0041345</t>
  </si>
  <si>
    <t>0041355</t>
  </si>
  <si>
    <t>0041385</t>
  </si>
  <si>
    <t>0041395</t>
  </si>
  <si>
    <t>0041405</t>
  </si>
  <si>
    <t>0041420</t>
  </si>
  <si>
    <t>0041430</t>
  </si>
  <si>
    <t>0041440</t>
  </si>
  <si>
    <t>0041450</t>
  </si>
  <si>
    <t>0041460</t>
  </si>
  <si>
    <t>0041470</t>
  </si>
  <si>
    <t>0041480</t>
  </si>
  <si>
    <t>0041490</t>
  </si>
  <si>
    <t>0041500</t>
  </si>
  <si>
    <t>TOTAL E. Business Services</t>
  </si>
  <si>
    <t>Operation and Maintenance of Plant Services</t>
  </si>
  <si>
    <t>0041670</t>
  </si>
  <si>
    <t>D</t>
  </si>
  <si>
    <t>Operation and Maintenance of Buildings</t>
  </si>
  <si>
    <t>0041680</t>
  </si>
  <si>
    <t>Custodian/Building Maintenance</t>
  </si>
  <si>
    <t>0041690</t>
  </si>
  <si>
    <t>Mechanics (exc. School Trans./Food Svcs)</t>
  </si>
  <si>
    <t>0041700</t>
  </si>
  <si>
    <t>School Safety/Security Staff/Cross Guards</t>
  </si>
  <si>
    <t>0041710</t>
  </si>
  <si>
    <t>Other Skilled Craftsman - Ops. and Maint.</t>
  </si>
  <si>
    <t>0041720</t>
  </si>
  <si>
    <t>0041730</t>
  </si>
  <si>
    <t>Other Salaries - Operations &amp; Maintenance</t>
  </si>
  <si>
    <t>0041740</t>
  </si>
  <si>
    <t>0041750</t>
  </si>
  <si>
    <t>0041765</t>
  </si>
  <si>
    <t>(1) Utilities - Water/Sewage</t>
  </si>
  <si>
    <t>0041780</t>
  </si>
  <si>
    <t>Utilities - Water/Sewage</t>
  </si>
  <si>
    <t>(2) Disposal Services</t>
  </si>
  <si>
    <t>0041790</t>
  </si>
  <si>
    <t>Disposal Services</t>
  </si>
  <si>
    <t>(3) Custodial Services</t>
  </si>
  <si>
    <t>0041800</t>
  </si>
  <si>
    <t>Custodial Services</t>
  </si>
  <si>
    <t>(4) Repairs and Maintenance Services</t>
  </si>
  <si>
    <t>0041810</t>
  </si>
  <si>
    <t>(5) Renting/Leasing Land and Buildings</t>
  </si>
  <si>
    <t>0041820</t>
  </si>
  <si>
    <t>Renting/Leasing Land and Buildings</t>
  </si>
  <si>
    <t>(6) Rental of Equipment and Vehicles</t>
  </si>
  <si>
    <t>0041830</t>
  </si>
  <si>
    <t>(7) Other Purchased Property Services</t>
  </si>
  <si>
    <t>0041840</t>
  </si>
  <si>
    <t>(1) Property Insurance</t>
  </si>
  <si>
    <t>0041855</t>
  </si>
  <si>
    <t>0041865</t>
  </si>
  <si>
    <t>0041875</t>
  </si>
  <si>
    <t>0041885</t>
  </si>
  <si>
    <t>(1) Materials and Supplies</t>
  </si>
  <si>
    <t>0041900</t>
  </si>
  <si>
    <t>(2) Technology-Related Supplies</t>
  </si>
  <si>
    <t>0041910</t>
  </si>
  <si>
    <t>(3) Natural Gas</t>
  </si>
  <si>
    <t>0041920</t>
  </si>
  <si>
    <t>Natural Gas</t>
  </si>
  <si>
    <t>(4) Electricity</t>
  </si>
  <si>
    <t>0041930</t>
  </si>
  <si>
    <t>Electricity</t>
  </si>
  <si>
    <t>0041940</t>
  </si>
  <si>
    <t>0041955</t>
  </si>
  <si>
    <t>0041965</t>
  </si>
  <si>
    <t>0041975</t>
  </si>
  <si>
    <t>0041985</t>
  </si>
  <si>
    <t>0041995</t>
  </si>
  <si>
    <t>Care and Upkeep of Grounds</t>
  </si>
  <si>
    <t>Lawn Care</t>
  </si>
  <si>
    <t>0042010</t>
  </si>
  <si>
    <t>0042020</t>
  </si>
  <si>
    <t>0042030</t>
  </si>
  <si>
    <t>0042040</t>
  </si>
  <si>
    <t>Equipment</t>
  </si>
  <si>
    <t>0042050</t>
  </si>
  <si>
    <t>0042060</t>
  </si>
  <si>
    <t>0042070</t>
  </si>
  <si>
    <t>Care and Upkeep of Equipment</t>
  </si>
  <si>
    <t>0042085</t>
  </si>
  <si>
    <t>0042095</t>
  </si>
  <si>
    <t>0042105</t>
  </si>
  <si>
    <t>0042115</t>
  </si>
  <si>
    <t>0042125</t>
  </si>
  <si>
    <t>0042135</t>
  </si>
  <si>
    <t>0042145</t>
  </si>
  <si>
    <t>0042155</t>
  </si>
  <si>
    <t>Vehicle Op. and Maint. (Exc. Student Trans.)</t>
  </si>
  <si>
    <t>0042170</t>
  </si>
  <si>
    <t>Vehicle Op. and Maint.</t>
  </si>
  <si>
    <t>0042180</t>
  </si>
  <si>
    <t>0042190</t>
  </si>
  <si>
    <t>0042200</t>
  </si>
  <si>
    <t>0042210</t>
  </si>
  <si>
    <t>0042220</t>
  </si>
  <si>
    <t>Equipment (Including Vehicles)</t>
  </si>
  <si>
    <t>0042230</t>
  </si>
  <si>
    <t>0042240</t>
  </si>
  <si>
    <t>0042250</t>
  </si>
  <si>
    <t>Safety and Security</t>
  </si>
  <si>
    <t>0042265</t>
  </si>
  <si>
    <t>0042275</t>
  </si>
  <si>
    <t>0042285</t>
  </si>
  <si>
    <t>0042300</t>
  </si>
  <si>
    <t>(2) Other Supplies</t>
  </si>
  <si>
    <t>0042310</t>
  </si>
  <si>
    <t>0042325</t>
  </si>
  <si>
    <t>0042335</t>
  </si>
  <si>
    <t>0042345</t>
  </si>
  <si>
    <t>0042355</t>
  </si>
  <si>
    <t>0042370</t>
  </si>
  <si>
    <t>0042380</t>
  </si>
  <si>
    <t>Employee Benefits - Op. and Maint.</t>
  </si>
  <si>
    <t>0042420</t>
  </si>
  <si>
    <t>0042430</t>
  </si>
  <si>
    <t>0042440</t>
  </si>
  <si>
    <t>0042455</t>
  </si>
  <si>
    <t>0042465</t>
  </si>
  <si>
    <t>0042475</t>
  </si>
  <si>
    <t>0042485</t>
  </si>
  <si>
    <t>0042495</t>
  </si>
  <si>
    <t>0042505</t>
  </si>
  <si>
    <t>0042515</t>
  </si>
  <si>
    <t>0042525</t>
  </si>
  <si>
    <t>0042535</t>
  </si>
  <si>
    <t>TOTAL F. Operation &amp; Maintenance of Plant Services</t>
  </si>
  <si>
    <t>G.</t>
  </si>
  <si>
    <t>Supervision of Student Transportation</t>
  </si>
  <si>
    <t>0043130</t>
  </si>
  <si>
    <t>0043140</t>
  </si>
  <si>
    <t>(3) Other Salaries - Student Trans. Svcs</t>
  </si>
  <si>
    <t>0043150</t>
  </si>
  <si>
    <t>Other Salaries - Student Trans. Svcs</t>
  </si>
  <si>
    <t>0043160</t>
  </si>
  <si>
    <t>0043175</t>
  </si>
  <si>
    <t>0043185</t>
  </si>
  <si>
    <t>(1) Student Transportation Services</t>
  </si>
  <si>
    <t>(a) From Other LEA - Within State</t>
  </si>
  <si>
    <t>0043205</t>
  </si>
  <si>
    <t>From Other LEA - Within State</t>
  </si>
  <si>
    <t>(b) From Other LEA - Outside State</t>
  </si>
  <si>
    <t>0043215</t>
  </si>
  <si>
    <t>From Other LEA - Outside State</t>
  </si>
  <si>
    <t>0043225</t>
  </si>
  <si>
    <t>0043235</t>
  </si>
  <si>
    <t>0043250</t>
  </si>
  <si>
    <t>0043260</t>
  </si>
  <si>
    <t>0043270</t>
  </si>
  <si>
    <t>0043285</t>
  </si>
  <si>
    <t>0043295</t>
  </si>
  <si>
    <t>(3) All Other Equipment (Inc. Veh/Buses)</t>
  </si>
  <si>
    <t>0043305</t>
  </si>
  <si>
    <t>0043315</t>
  </si>
  <si>
    <t>0043330</t>
  </si>
  <si>
    <t>0043340</t>
  </si>
  <si>
    <t>Employee Benefits - Super. Student Trans.</t>
  </si>
  <si>
    <t>0043380</t>
  </si>
  <si>
    <t>0043390</t>
  </si>
  <si>
    <t>0043400</t>
  </si>
  <si>
    <t>0043415</t>
  </si>
  <si>
    <t>0043425</t>
  </si>
  <si>
    <t>0043435</t>
  </si>
  <si>
    <t>0043445</t>
  </si>
  <si>
    <t>0043455</t>
  </si>
  <si>
    <t>0043465</t>
  </si>
  <si>
    <t>0043475</t>
  </si>
  <si>
    <t>0043485</t>
  </si>
  <si>
    <t>0043495</t>
  </si>
  <si>
    <t>Regular Transportation</t>
  </si>
  <si>
    <t>(1) Aide/Attendant/Monitor</t>
  </si>
  <si>
    <t>0043550</t>
  </si>
  <si>
    <t>Aide/Attendant/Monitor</t>
  </si>
  <si>
    <t>(2) Bus Driver</t>
  </si>
  <si>
    <t>0043560</t>
  </si>
  <si>
    <t>Bus Driver</t>
  </si>
  <si>
    <t>(3) Bus Mechanics</t>
  </si>
  <si>
    <t>0043570</t>
  </si>
  <si>
    <t>Bus Mechanics</t>
  </si>
  <si>
    <t>(4) Substitute Drivers</t>
  </si>
  <si>
    <t>0043580</t>
  </si>
  <si>
    <t>Substitute Drivers</t>
  </si>
  <si>
    <t>(5) Other Salaries - Regular Trans. Svcs</t>
  </si>
  <si>
    <t>0043582</t>
  </si>
  <si>
    <t>Other Salaries - Regular Trans. Svcs</t>
  </si>
  <si>
    <t>0043583</t>
  </si>
  <si>
    <t>0043595</t>
  </si>
  <si>
    <t>0043605</t>
  </si>
  <si>
    <t>0043615</t>
  </si>
  <si>
    <t>(1) Payments in Lieu of Transportation</t>
  </si>
  <si>
    <t>0043630</t>
  </si>
  <si>
    <t>Payments in Lieu of Transportation</t>
  </si>
  <si>
    <t>(2) Fleet Insurance</t>
  </si>
  <si>
    <t>0043640</t>
  </si>
  <si>
    <t>(3) Operational Allowance</t>
  </si>
  <si>
    <t>0043650</t>
  </si>
  <si>
    <t>Operational Allowance</t>
  </si>
  <si>
    <t>0043660</t>
  </si>
  <si>
    <t>0043675</t>
  </si>
  <si>
    <t>0043685</t>
  </si>
  <si>
    <t>0043695</t>
  </si>
  <si>
    <t>0043705</t>
  </si>
  <si>
    <t>0043720</t>
  </si>
  <si>
    <t>0043730</t>
  </si>
  <si>
    <t>0043740</t>
  </si>
  <si>
    <t>0043750</t>
  </si>
  <si>
    <t>0043765</t>
  </si>
  <si>
    <t>0043775</t>
  </si>
  <si>
    <t>Employee Benefits - Regular Trans.</t>
  </si>
  <si>
    <t>0043810</t>
  </si>
  <si>
    <t>0043820</t>
  </si>
  <si>
    <t>0043830</t>
  </si>
  <si>
    <t>0043845</t>
  </si>
  <si>
    <t>0043855</t>
  </si>
  <si>
    <t>0043865</t>
  </si>
  <si>
    <t>0043875</t>
  </si>
  <si>
    <t>0043885</t>
  </si>
  <si>
    <t>0043895</t>
  </si>
  <si>
    <t>0043905</t>
  </si>
  <si>
    <t>0043915</t>
  </si>
  <si>
    <t>0043925</t>
  </si>
  <si>
    <t>Special Needs Transportation</t>
  </si>
  <si>
    <t>0043980</t>
  </si>
  <si>
    <t>0043990</t>
  </si>
  <si>
    <t>0044000</t>
  </si>
  <si>
    <t>0044010</t>
  </si>
  <si>
    <t>(5) Other Salaries - Special Needs Trans. Svcs</t>
  </si>
  <si>
    <t>0044012</t>
  </si>
  <si>
    <t>Other Salaries - Special Needs Trans. Svcs</t>
  </si>
  <si>
    <t>0044013</t>
  </si>
  <si>
    <t>0044025</t>
  </si>
  <si>
    <t>0044035</t>
  </si>
  <si>
    <t>0044045</t>
  </si>
  <si>
    <t>0044060</t>
  </si>
  <si>
    <t>0044070</t>
  </si>
  <si>
    <t>0044080</t>
  </si>
  <si>
    <t>0044090</t>
  </si>
  <si>
    <t>0044105</t>
  </si>
  <si>
    <t>0044115</t>
  </si>
  <si>
    <t>0044125</t>
  </si>
  <si>
    <t>0044135</t>
  </si>
  <si>
    <t>0044150</t>
  </si>
  <si>
    <t>0044160</t>
  </si>
  <si>
    <t>0044170</t>
  </si>
  <si>
    <t>0044180</t>
  </si>
  <si>
    <t>0044195</t>
  </si>
  <si>
    <t>0044205</t>
  </si>
  <si>
    <t>Employee Benefits - Special Needs Trans.</t>
  </si>
  <si>
    <t>0044255</t>
  </si>
  <si>
    <t>0044265</t>
  </si>
  <si>
    <t>0044275</t>
  </si>
  <si>
    <t>0044290</t>
  </si>
  <si>
    <t>0044300</t>
  </si>
  <si>
    <t>0044310</t>
  </si>
  <si>
    <t>0044320</t>
  </si>
  <si>
    <t>0044330</t>
  </si>
  <si>
    <t>0044340</t>
  </si>
  <si>
    <t>0044350</t>
  </si>
  <si>
    <t>0044360</t>
  </si>
  <si>
    <t>0044370</t>
  </si>
  <si>
    <t>TOTAL G. Student Transportation Services</t>
  </si>
  <si>
    <t>H.</t>
  </si>
  <si>
    <t>Planning, Research, Development &amp; Evaluation</t>
  </si>
  <si>
    <t>0044945</t>
  </si>
  <si>
    <t>0044955</t>
  </si>
  <si>
    <t>(3) Other Salaries - Plan, R&amp;D, and Eval</t>
  </si>
  <si>
    <t>0044965</t>
  </si>
  <si>
    <t>Other Salaries - Plan, R&amp;D, and Eval</t>
  </si>
  <si>
    <t>0044975</t>
  </si>
  <si>
    <t>0044990</t>
  </si>
  <si>
    <t>0045000</t>
  </si>
  <si>
    <t>0045015</t>
  </si>
  <si>
    <t>0045025</t>
  </si>
  <si>
    <t>0045040</t>
  </si>
  <si>
    <t>0045050</t>
  </si>
  <si>
    <t>0045060</t>
  </si>
  <si>
    <t>0045075</t>
  </si>
  <si>
    <t>0045085</t>
  </si>
  <si>
    <t>0045095</t>
  </si>
  <si>
    <t>0045105</t>
  </si>
  <si>
    <t>0045120</t>
  </si>
  <si>
    <t>0045130</t>
  </si>
  <si>
    <t>Employee Benefits - Plan, R&amp;D, Eval Svcs</t>
  </si>
  <si>
    <t>0045170</t>
  </si>
  <si>
    <t>0045180</t>
  </si>
  <si>
    <t>0045190</t>
  </si>
  <si>
    <t>0045205</t>
  </si>
  <si>
    <t>0045215</t>
  </si>
  <si>
    <t>0045225</t>
  </si>
  <si>
    <t>0045235</t>
  </si>
  <si>
    <t>0045245</t>
  </si>
  <si>
    <t>0045255</t>
  </si>
  <si>
    <t>0045265</t>
  </si>
  <si>
    <t>0045275</t>
  </si>
  <si>
    <t>0045285</t>
  </si>
  <si>
    <t>Information Services</t>
  </si>
  <si>
    <t>0045340</t>
  </si>
  <si>
    <t>0045350</t>
  </si>
  <si>
    <t>(3) Other Salaries - Information Services</t>
  </si>
  <si>
    <t>0045360</t>
  </si>
  <si>
    <t>Other Salaries - Information Services</t>
  </si>
  <si>
    <t>0045370</t>
  </si>
  <si>
    <t>0045385</t>
  </si>
  <si>
    <t>0045395</t>
  </si>
  <si>
    <t>(1) Advertising and Public Notices</t>
  </si>
  <si>
    <t>0045410</t>
  </si>
  <si>
    <t>0045420</t>
  </si>
  <si>
    <t>0045430</t>
  </si>
  <si>
    <t>0045445</t>
  </si>
  <si>
    <t>0045455</t>
  </si>
  <si>
    <t>0045465</t>
  </si>
  <si>
    <t>0045480</t>
  </si>
  <si>
    <t>0045490</t>
  </si>
  <si>
    <t>0045500</t>
  </si>
  <si>
    <t>0045510</t>
  </si>
  <si>
    <t>0045525</t>
  </si>
  <si>
    <t>0045535</t>
  </si>
  <si>
    <t>Employee Benefits - Information Services</t>
  </si>
  <si>
    <t>0045575</t>
  </si>
  <si>
    <t>0045585</t>
  </si>
  <si>
    <t>0045595</t>
  </si>
  <si>
    <t>0045610</t>
  </si>
  <si>
    <t>0045620</t>
  </si>
  <si>
    <t>0045630</t>
  </si>
  <si>
    <t>0045640</t>
  </si>
  <si>
    <t>0045650</t>
  </si>
  <si>
    <t>0045660</t>
  </si>
  <si>
    <t>0045670</t>
  </si>
  <si>
    <t>0045680</t>
  </si>
  <si>
    <t>0045690</t>
  </si>
  <si>
    <t>Personnel (Human Resources) Services</t>
  </si>
  <si>
    <t>(1) Personnel / HR Director (only)</t>
  </si>
  <si>
    <t>0045745</t>
  </si>
  <si>
    <t>Human Resources Services</t>
  </si>
  <si>
    <t>Personnel / HR Director (only)</t>
  </si>
  <si>
    <t>(2) Other Personnel Services Supervisors</t>
  </si>
  <si>
    <t>0045755</t>
  </si>
  <si>
    <t>Other Personnel Services Supervisors</t>
  </si>
  <si>
    <t>(3) Recruitment and Placement Staff</t>
  </si>
  <si>
    <t>0045765</t>
  </si>
  <si>
    <t>Recruitment and Placement Staff</t>
  </si>
  <si>
    <t>(4) Clerical/Secretarial</t>
  </si>
  <si>
    <t>0045775</t>
  </si>
  <si>
    <t>(5) Degreed Professional</t>
  </si>
  <si>
    <t>0045785</t>
  </si>
  <si>
    <t>Degreed Professional</t>
  </si>
  <si>
    <t>(6) Other Salaries - Personnel Services</t>
  </si>
  <si>
    <t>0045795</t>
  </si>
  <si>
    <t>Other Salaries - Personnel Services</t>
  </si>
  <si>
    <t>(1) Fingerprinting and Background Check</t>
  </si>
  <si>
    <t>0045810</t>
  </si>
  <si>
    <t>Fingerprinting and Background Check</t>
  </si>
  <si>
    <t>0045820</t>
  </si>
  <si>
    <t>0045835</t>
  </si>
  <si>
    <t>0045845</t>
  </si>
  <si>
    <t>0045860</t>
  </si>
  <si>
    <t>0045870</t>
  </si>
  <si>
    <t>0045880</t>
  </si>
  <si>
    <t>0045895</t>
  </si>
  <si>
    <t>0045905</t>
  </si>
  <si>
    <t>0045915</t>
  </si>
  <si>
    <t>0045930</t>
  </si>
  <si>
    <t>0045940</t>
  </si>
  <si>
    <t>0045950</t>
  </si>
  <si>
    <t>0045960</t>
  </si>
  <si>
    <t>0045975</t>
  </si>
  <si>
    <t>0045985</t>
  </si>
  <si>
    <t>Employee Benefits - Personnel Services</t>
  </si>
  <si>
    <t>0046025</t>
  </si>
  <si>
    <t>0046035</t>
  </si>
  <si>
    <t>0046045</t>
  </si>
  <si>
    <t>0046060</t>
  </si>
  <si>
    <t>0046070</t>
  </si>
  <si>
    <t>0046080</t>
  </si>
  <si>
    <t>0046090</t>
  </si>
  <si>
    <t>0046100</t>
  </si>
  <si>
    <t>0046110</t>
  </si>
  <si>
    <t>0046120</t>
  </si>
  <si>
    <t>0046130</t>
  </si>
  <si>
    <t>0046140</t>
  </si>
  <si>
    <t>Administrative Tech. Svcs (Data Processing)</t>
  </si>
  <si>
    <t>0046200</t>
  </si>
  <si>
    <t>Administrative Tech. Svcs</t>
  </si>
  <si>
    <t>(2) System Analysts</t>
  </si>
  <si>
    <t>0046210</t>
  </si>
  <si>
    <t>System Analysts</t>
  </si>
  <si>
    <t>(3) Application Programmers</t>
  </si>
  <si>
    <t>0046220</t>
  </si>
  <si>
    <t>Application Programmers</t>
  </si>
  <si>
    <t>(4) Computer Operators</t>
  </si>
  <si>
    <t>0046230</t>
  </si>
  <si>
    <t>Computer Operators</t>
  </si>
  <si>
    <t>(5) Network Support Staff</t>
  </si>
  <si>
    <t>0046240</t>
  </si>
  <si>
    <t>Network Support Staff</t>
  </si>
  <si>
    <t>(6) Hardware Maintenance &amp; Support Staff</t>
  </si>
  <si>
    <t>0046250</t>
  </si>
  <si>
    <t>Hardware Maintenance &amp; Support Staff</t>
  </si>
  <si>
    <t>(7) Clerical/Secretarial</t>
  </si>
  <si>
    <t>0046260</t>
  </si>
  <si>
    <t>(8) Other Salaries - Admin. Tech. Svcs</t>
  </si>
  <si>
    <t>0046270</t>
  </si>
  <si>
    <t>Other Salaries - Admin. Tech. Svcs</t>
  </si>
  <si>
    <t>(1) Profess. Develop. - Admin Tech Svcs</t>
  </si>
  <si>
    <t>0046285</t>
  </si>
  <si>
    <t>Profess. Develop. - Admin Tech Svcs</t>
  </si>
  <si>
    <t>(2) Other Purchased Technical Services</t>
  </si>
  <si>
    <t>0046295</t>
  </si>
  <si>
    <t>Other Purchased Technical Services</t>
  </si>
  <si>
    <t>0046305</t>
  </si>
  <si>
    <t>0046320</t>
  </si>
  <si>
    <t>0046330</t>
  </si>
  <si>
    <t>0046340</t>
  </si>
  <si>
    <t>0046355</t>
  </si>
  <si>
    <t>0046365</t>
  </si>
  <si>
    <t>0046375</t>
  </si>
  <si>
    <t>0046390</t>
  </si>
  <si>
    <t>0046400</t>
  </si>
  <si>
    <t>0046410</t>
  </si>
  <si>
    <t>0046425</t>
  </si>
  <si>
    <t>0046435</t>
  </si>
  <si>
    <t>0046445</t>
  </si>
  <si>
    <t>0046455</t>
  </si>
  <si>
    <t>0046470</t>
  </si>
  <si>
    <t>0046480</t>
  </si>
  <si>
    <t>Employee Benefits - Admin. Tech. Svcs</t>
  </si>
  <si>
    <t>0046520</t>
  </si>
  <si>
    <t>0046530</t>
  </si>
  <si>
    <t>0046540</t>
  </si>
  <si>
    <t>0046555</t>
  </si>
  <si>
    <t>0046565</t>
  </si>
  <si>
    <t>0046575</t>
  </si>
  <si>
    <t>0046585</t>
  </si>
  <si>
    <t>0046595</t>
  </si>
  <si>
    <t>0046605</t>
  </si>
  <si>
    <t>0046615</t>
  </si>
  <si>
    <t>0046625</t>
  </si>
  <si>
    <t>0046635</t>
  </si>
  <si>
    <t>Other Central Service Services</t>
  </si>
  <si>
    <t>(1) Other Regular Salaries - Central Svcs</t>
  </si>
  <si>
    <t>0046680</t>
  </si>
  <si>
    <t>Other Regular Salaries - Central Svcs</t>
  </si>
  <si>
    <t>(2) Other Sub./Temp. Emp. - Central Svcs</t>
  </si>
  <si>
    <t>0046690</t>
  </si>
  <si>
    <t>Other Sub./Temp. Emp. - Central Svcs</t>
  </si>
  <si>
    <t>(3) Other Sabbatical Leave - Central Svcs</t>
  </si>
  <si>
    <t>0046700</t>
  </si>
  <si>
    <t>Other Sabbatical Leave - Central Svcs</t>
  </si>
  <si>
    <t>(4) All Other Salaries - Central Services</t>
  </si>
  <si>
    <t>0046710</t>
  </si>
  <si>
    <t>All Other Salaries - Central Services</t>
  </si>
  <si>
    <t>0046720</t>
  </si>
  <si>
    <t>0046730</t>
  </si>
  <si>
    <t>0046740</t>
  </si>
  <si>
    <t>0046750</t>
  </si>
  <si>
    <t>0046760</t>
  </si>
  <si>
    <t>0046775</t>
  </si>
  <si>
    <t>0046785</t>
  </si>
  <si>
    <t>0046825</t>
  </si>
  <si>
    <t>0046835</t>
  </si>
  <si>
    <t>0046845</t>
  </si>
  <si>
    <t>0046860</t>
  </si>
  <si>
    <t>0046870</t>
  </si>
  <si>
    <t>0046880</t>
  </si>
  <si>
    <t>0046890</t>
  </si>
  <si>
    <t>0046900</t>
  </si>
  <si>
    <t>0046910</t>
  </si>
  <si>
    <t>0046920</t>
  </si>
  <si>
    <t>0046930</t>
  </si>
  <si>
    <t>0046940</t>
  </si>
  <si>
    <t>TOTAL H. Central Services</t>
  </si>
  <si>
    <t>TOTAL II. A-H. SUPPORT SERVICE EXPENDITURES</t>
  </si>
  <si>
    <t>III. OPERATION OF NON-INSTRUCTIONAL SERVICES</t>
  </si>
  <si>
    <t>District-wide Directors &amp; Site Managers</t>
  </si>
  <si>
    <t>0048015</t>
  </si>
  <si>
    <t>0048025</t>
  </si>
  <si>
    <t>Service Workers</t>
  </si>
  <si>
    <t>0048035</t>
  </si>
  <si>
    <t>Skilled Craftsmen</t>
  </si>
  <si>
    <t>0048045</t>
  </si>
  <si>
    <t>0048055</t>
  </si>
  <si>
    <t>Acting Employees</t>
  </si>
  <si>
    <t>0048065</t>
  </si>
  <si>
    <t>Substitute Employees</t>
  </si>
  <si>
    <t>0048075</t>
  </si>
  <si>
    <t>Other Temporary Employee</t>
  </si>
  <si>
    <t>0048085</t>
  </si>
  <si>
    <t>Salaries for Overtime/Extra Work</t>
  </si>
  <si>
    <t>0048095</t>
  </si>
  <si>
    <t>0048105</t>
  </si>
  <si>
    <t>All Other Salaries - Food Service Ops</t>
  </si>
  <si>
    <t>0048115</t>
  </si>
  <si>
    <t>Purchased Educational Services</t>
  </si>
  <si>
    <t>0048130</t>
  </si>
  <si>
    <t>Other Purchased Professional Services</t>
  </si>
  <si>
    <t>(1) Legal Services</t>
  </si>
  <si>
    <t>0048145</t>
  </si>
  <si>
    <t>(2) Audit/Accounting Services</t>
  </si>
  <si>
    <t>0048155</t>
  </si>
  <si>
    <t>Audit/Accounting Services</t>
  </si>
  <si>
    <t>(3) Other Professional Services</t>
  </si>
  <si>
    <t>0048165</t>
  </si>
  <si>
    <t>Other Professional Services</t>
  </si>
  <si>
    <t>Other Purchased Professional &amp; Tech Svcs</t>
  </si>
  <si>
    <t>0048175</t>
  </si>
  <si>
    <t>Water/Sewage</t>
  </si>
  <si>
    <t>0048190</t>
  </si>
  <si>
    <t>Cleaning Services</t>
  </si>
  <si>
    <t>(1) Disposal Services</t>
  </si>
  <si>
    <t>0048205</t>
  </si>
  <si>
    <t>(2) Custodial Services</t>
  </si>
  <si>
    <t>0048215</t>
  </si>
  <si>
    <t>0048225</t>
  </si>
  <si>
    <t>Renting Land and Buildings</t>
  </si>
  <si>
    <t>0048235</t>
  </si>
  <si>
    <t>0048245</t>
  </si>
  <si>
    <t>0048255</t>
  </si>
  <si>
    <t>Insurance (Other Than Employee Benefits)</t>
  </si>
  <si>
    <t>(1) Liability Insurance</t>
  </si>
  <si>
    <t>0048275</t>
  </si>
  <si>
    <t>(2) Property Insurance</t>
  </si>
  <si>
    <t>0048285</t>
  </si>
  <si>
    <t>(3) Fleet Insurance</t>
  </si>
  <si>
    <t>0048295</t>
  </si>
  <si>
    <t>(4) Errors and Omissions Insurance</t>
  </si>
  <si>
    <t>0048305</t>
  </si>
  <si>
    <t>Errors and Omissions Insurance</t>
  </si>
  <si>
    <t>(5) Faithful Performance Bonds</t>
  </si>
  <si>
    <t>0048315</t>
  </si>
  <si>
    <t>Faithful Performance Bonds</t>
  </si>
  <si>
    <t>(6) Other Insurance</t>
  </si>
  <si>
    <t>0048325</t>
  </si>
  <si>
    <t>Other Insurance</t>
  </si>
  <si>
    <t>0048335</t>
  </si>
  <si>
    <t>0048345</t>
  </si>
  <si>
    <t>0048355</t>
  </si>
  <si>
    <t>0048365</t>
  </si>
  <si>
    <t>0048375</t>
  </si>
  <si>
    <t>0048385</t>
  </si>
  <si>
    <t>Interagency Purchased Services</t>
  </si>
  <si>
    <t>(1) Purchased from LEA Within the State</t>
  </si>
  <si>
    <t>0048400</t>
  </si>
  <si>
    <t>Purchased from LEA Within the State</t>
  </si>
  <si>
    <t>(2) Purchased from LEAs Outside the State</t>
  </si>
  <si>
    <t>0048410</t>
  </si>
  <si>
    <t>Purchased from LEAs Outside the State</t>
  </si>
  <si>
    <t>Services Purchased Locally</t>
  </si>
  <si>
    <t>0048420</t>
  </si>
  <si>
    <t>All Other Purchased Services</t>
  </si>
  <si>
    <t>0048430</t>
  </si>
  <si>
    <t>0048445</t>
  </si>
  <si>
    <t>0048455</t>
  </si>
  <si>
    <t>Entergy (Gas, Electricity, etc.)</t>
  </si>
  <si>
    <t>0048465</t>
  </si>
  <si>
    <t>Entergy</t>
  </si>
  <si>
    <t>Food</t>
  </si>
  <si>
    <t>(1) Purchased Food</t>
  </si>
  <si>
    <t>0048480</t>
  </si>
  <si>
    <t>Purchased Food</t>
  </si>
  <si>
    <t>(2) Commodities</t>
  </si>
  <si>
    <t>0048490</t>
  </si>
  <si>
    <t>Commodities</t>
  </si>
  <si>
    <t>0048500</t>
  </si>
  <si>
    <t>0048510</t>
  </si>
  <si>
    <t>0048525</t>
  </si>
  <si>
    <t>0048535</t>
  </si>
  <si>
    <t>All Other Equipment (Including Vehicles)</t>
  </si>
  <si>
    <t>0048545</t>
  </si>
  <si>
    <t>0048555</t>
  </si>
  <si>
    <t>0048570</t>
  </si>
  <si>
    <t>0048580</t>
  </si>
  <si>
    <t>Employee Benefits - Food Service Operations</t>
  </si>
  <si>
    <t>0048595</t>
  </si>
  <si>
    <t>0048605</t>
  </si>
  <si>
    <t>0048615</t>
  </si>
  <si>
    <t>0048630</t>
  </si>
  <si>
    <t>0048640</t>
  </si>
  <si>
    <t>0048650</t>
  </si>
  <si>
    <t>0048660</t>
  </si>
  <si>
    <t>0048670</t>
  </si>
  <si>
    <t>0048680</t>
  </si>
  <si>
    <t>0048685</t>
  </si>
  <si>
    <t>0048690</t>
  </si>
  <si>
    <t>0048695</t>
  </si>
  <si>
    <t>TOTAL A. Food Service Operations</t>
  </si>
  <si>
    <t>Enterprise Operations (exclude Food Service Ops)</t>
  </si>
  <si>
    <t>Administrator</t>
  </si>
  <si>
    <t>0048815</t>
  </si>
  <si>
    <t>0048820</t>
  </si>
  <si>
    <t>Other Salaries - Enterprise Operations</t>
  </si>
  <si>
    <t>0048825</t>
  </si>
  <si>
    <t>0048830</t>
  </si>
  <si>
    <t>0048840</t>
  </si>
  <si>
    <t>0048845</t>
  </si>
  <si>
    <t>0048855</t>
  </si>
  <si>
    <t>0048860</t>
  </si>
  <si>
    <t>0048870</t>
  </si>
  <si>
    <t>0048875</t>
  </si>
  <si>
    <t>0048880</t>
  </si>
  <si>
    <t>0048890</t>
  </si>
  <si>
    <t>0048895</t>
  </si>
  <si>
    <t>0048900</t>
  </si>
  <si>
    <t>0048905</t>
  </si>
  <si>
    <t>0048915</t>
  </si>
  <si>
    <t>0048920</t>
  </si>
  <si>
    <t>Employee Benefits - Enterprise Operation</t>
  </si>
  <si>
    <t>0048930</t>
  </si>
  <si>
    <t>0048935</t>
  </si>
  <si>
    <t>0048940</t>
  </si>
  <si>
    <t>0048950</t>
  </si>
  <si>
    <t>0048955</t>
  </si>
  <si>
    <t>0048960</t>
  </si>
  <si>
    <t>0048965</t>
  </si>
  <si>
    <t>0048970</t>
  </si>
  <si>
    <t>0048975</t>
  </si>
  <si>
    <t>0048980</t>
  </si>
  <si>
    <t>0048985</t>
  </si>
  <si>
    <t>0048990</t>
  </si>
  <si>
    <t>TOTAL B. Enterprise Operations</t>
  </si>
  <si>
    <t>Community Service Ops (rec. prog; childcare)</t>
  </si>
  <si>
    <t>0049010</t>
  </si>
  <si>
    <t>Community Service Ops</t>
  </si>
  <si>
    <t>0049015</t>
  </si>
  <si>
    <t>0049020</t>
  </si>
  <si>
    <t>0049025</t>
  </si>
  <si>
    <t>0049035</t>
  </si>
  <si>
    <t>0049040</t>
  </si>
  <si>
    <t>0049050</t>
  </si>
  <si>
    <t>0049055</t>
  </si>
  <si>
    <t>0049065</t>
  </si>
  <si>
    <t>0049070</t>
  </si>
  <si>
    <t>0049075</t>
  </si>
  <si>
    <t>111 Property/Equipment</t>
  </si>
  <si>
    <t>0049085</t>
  </si>
  <si>
    <t>0049090</t>
  </si>
  <si>
    <t>0049095</t>
  </si>
  <si>
    <t>0049100</t>
  </si>
  <si>
    <t>0049110</t>
  </si>
  <si>
    <t>0049115</t>
  </si>
  <si>
    <t>Employee Benefits - Community Service Ops</t>
  </si>
  <si>
    <t>0049125</t>
  </si>
  <si>
    <t>0049130</t>
  </si>
  <si>
    <t>0049135</t>
  </si>
  <si>
    <t>0049145</t>
  </si>
  <si>
    <t>0049150</t>
  </si>
  <si>
    <t>0049155</t>
  </si>
  <si>
    <t>0049160</t>
  </si>
  <si>
    <t>0049165</t>
  </si>
  <si>
    <t>0049170</t>
  </si>
  <si>
    <t>0049175</t>
  </si>
  <si>
    <t>0049180</t>
  </si>
  <si>
    <t>0049185</t>
  </si>
  <si>
    <t>TOTAL C. Community Service Operations</t>
  </si>
  <si>
    <t>TOTAL III. A-C. NON-INSTRUCTIONAL OPERATIONS</t>
  </si>
  <si>
    <t>IV.</t>
  </si>
  <si>
    <t>FACILITY ACQUISITION AND CONSTRUCTION</t>
  </si>
  <si>
    <t>SERVICES</t>
  </si>
  <si>
    <t>0049275</t>
  </si>
  <si>
    <t>Facility Services</t>
  </si>
  <si>
    <t>0049285</t>
  </si>
  <si>
    <t>0049295</t>
  </si>
  <si>
    <t>Regular Salaries - 16th Section Land</t>
  </si>
  <si>
    <t>0049305</t>
  </si>
  <si>
    <t>Temporary Employees</t>
  </si>
  <si>
    <t>0049315</t>
  </si>
  <si>
    <t>All Other Salaries - Fac Acq/Construction</t>
  </si>
  <si>
    <t>0049325</t>
  </si>
  <si>
    <t>0049340</t>
  </si>
  <si>
    <t>Architect/Engineering Services</t>
  </si>
  <si>
    <t>0049350</t>
  </si>
  <si>
    <t>(1) 16th Section Land Improvements</t>
  </si>
  <si>
    <t>0049365</t>
  </si>
  <si>
    <t>16th Section Land Improvements</t>
  </si>
  <si>
    <t>(2) Other</t>
  </si>
  <si>
    <t>0049375</t>
  </si>
  <si>
    <t>Other</t>
  </si>
  <si>
    <t>Building Improvements - Renovate/Remodel</t>
  </si>
  <si>
    <t>0049390</t>
  </si>
  <si>
    <t>Building Acquisition and Construction</t>
  </si>
  <si>
    <t>0049400</t>
  </si>
  <si>
    <t>0049410</t>
  </si>
  <si>
    <t>Other Purchases Services</t>
  </si>
  <si>
    <t>0049425</t>
  </si>
  <si>
    <t>0049435</t>
  </si>
  <si>
    <t>Supplies (non-capitalized expenditures)</t>
  </si>
  <si>
    <t>0049450</t>
  </si>
  <si>
    <t>0049460</t>
  </si>
  <si>
    <t>0049470</t>
  </si>
  <si>
    <t>Property</t>
  </si>
  <si>
    <t>Land Acquisitions</t>
  </si>
  <si>
    <t>0049485</t>
  </si>
  <si>
    <t>Land Improvements</t>
  </si>
  <si>
    <t>0049495</t>
  </si>
  <si>
    <t>Building Acquisition</t>
  </si>
  <si>
    <t>0049505</t>
  </si>
  <si>
    <t>0049520</t>
  </si>
  <si>
    <t>0049530</t>
  </si>
  <si>
    <t>0049540</t>
  </si>
  <si>
    <t>Infrastructure</t>
  </si>
  <si>
    <t>0049550</t>
  </si>
  <si>
    <t>All Other Property</t>
  </si>
  <si>
    <t>0049560</t>
  </si>
  <si>
    <t>0049575</t>
  </si>
  <si>
    <t>Facilities Acquisition &amp; Contruction</t>
  </si>
  <si>
    <t>0049585</t>
  </si>
  <si>
    <t>0049650</t>
  </si>
  <si>
    <t>0049660</t>
  </si>
  <si>
    <t>0049670</t>
  </si>
  <si>
    <t>0049685</t>
  </si>
  <si>
    <t>0049695</t>
  </si>
  <si>
    <t>0049705</t>
  </si>
  <si>
    <t>0049715</t>
  </si>
  <si>
    <t>0049725</t>
  </si>
  <si>
    <t>0049735</t>
  </si>
  <si>
    <t>0049745</t>
  </si>
  <si>
    <t>0049755</t>
  </si>
  <si>
    <t>0049765</t>
  </si>
  <si>
    <t>TOTAL IV. FACILITY &amp; CONSTRUCTION SERVICES</t>
  </si>
  <si>
    <t>V.</t>
  </si>
  <si>
    <t>DEBT SERVICE</t>
  </si>
  <si>
    <t>Debt Service</t>
  </si>
  <si>
    <t>0050000</t>
  </si>
  <si>
    <t>Banking Services</t>
  </si>
  <si>
    <t>0050050</t>
  </si>
  <si>
    <t>0050100</t>
  </si>
  <si>
    <t>0050200</t>
  </si>
  <si>
    <t>0050300</t>
  </si>
  <si>
    <t>Interest (long-term)</t>
  </si>
  <si>
    <t>0050400</t>
  </si>
  <si>
    <t>Redemption of Principal</t>
  </si>
  <si>
    <t>0050500</t>
  </si>
  <si>
    <t>Miscellaneous Expenditures (Including</t>
  </si>
  <si>
    <t>Bond Issuance &amp; Other Costs)</t>
  </si>
  <si>
    <t>0050600</t>
  </si>
  <si>
    <t>Pay Escrow Agents For Defeasance of Debt</t>
  </si>
  <si>
    <t>0050700</t>
  </si>
  <si>
    <t>0050800</t>
  </si>
  <si>
    <t>TOTAL V. DEBT SERVICE</t>
  </si>
  <si>
    <t>TOTAL I - V. ALL EXPENDITURES</t>
  </si>
  <si>
    <t>VI.</t>
  </si>
  <si>
    <t>OTHER FINANCING SOURCES (USES)</t>
  </si>
  <si>
    <t>Sale of Bonds</t>
  </si>
  <si>
    <t>Bond Principal</t>
  </si>
  <si>
    <t>0050910</t>
  </si>
  <si>
    <t>Accrued Interest &amp; Premiums on Bonds Sold</t>
  </si>
  <si>
    <t>0050920</t>
  </si>
  <si>
    <t>Interfund Transfers</t>
  </si>
  <si>
    <t>Transfers of Indirect Cost</t>
  </si>
  <si>
    <t>0050930</t>
  </si>
  <si>
    <t>Operating Transfers In</t>
  </si>
  <si>
    <t>0050940</t>
  </si>
  <si>
    <t>Proceeds - Disposal Of Real/Personal Prop</t>
  </si>
  <si>
    <t>0050960</t>
  </si>
  <si>
    <t>Proceeds</t>
  </si>
  <si>
    <t>Loan Proceeds</t>
  </si>
  <si>
    <t>0050980</t>
  </si>
  <si>
    <t>Capital Lease Proceeds</t>
  </si>
  <si>
    <t>0050990</t>
  </si>
  <si>
    <t>TOTAL A. Other Sources of Funds</t>
  </si>
  <si>
    <t>Fund Transfers</t>
  </si>
  <si>
    <t>Operating Transfers Out</t>
  </si>
  <si>
    <t>0051115</t>
  </si>
  <si>
    <t>0051120</t>
  </si>
  <si>
    <t>Miscellaneous Transfers</t>
  </si>
  <si>
    <t>0051130</t>
  </si>
  <si>
    <t>Local Revenue Transfers - Charter Schools</t>
  </si>
  <si>
    <t>0051140</t>
  </si>
  <si>
    <t>TOTAL B. Other Uses of Funds</t>
  </si>
  <si>
    <t>TOTAL VI. OTHER FINANCING SOURCES (USES)</t>
  </si>
  <si>
    <t>0051185</t>
  </si>
  <si>
    <t>FUND BALANCES</t>
  </si>
  <si>
    <t>EXCESS (DEFICIENCY) OF REVENUE</t>
  </si>
  <si>
    <t>AND OTHER SOURCES OVER</t>
  </si>
  <si>
    <t>EXPENDITURES AND OTHER USES</t>
  </si>
  <si>
    <t>(Auto Calc) &gt;&gt;</t>
  </si>
  <si>
    <t>RESIDUAL EQUITY TRANSFER IN</t>
  </si>
  <si>
    <t>RESIDUAL EQUITY TRANSER OUT</t>
  </si>
  <si>
    <t>PRIOR YEAR ADJUSTMENT</t>
  </si>
  <si>
    <t>BALANCES AT BEGINNING OF YEAR</t>
  </si>
  <si>
    <t>BALANCES AT END OF YEAR</t>
  </si>
  <si>
    <t>EQA Custom Account</t>
  </si>
  <si>
    <t>Uncategorized Expenses</t>
  </si>
  <si>
    <t>Non-Cash Lease Expense</t>
  </si>
  <si>
    <t>Lease Interest Expense</t>
  </si>
  <si>
    <t>LFNO Custom Account</t>
  </si>
  <si>
    <t>ASSETS</t>
  </si>
  <si>
    <t>Cash and Cash Investments</t>
  </si>
  <si>
    <t>0051310</t>
  </si>
  <si>
    <t>(101-115)</t>
  </si>
  <si>
    <t>BS1</t>
  </si>
  <si>
    <t>Bank accounts</t>
  </si>
  <si>
    <t>BS2</t>
  </si>
  <si>
    <t>BS3</t>
  </si>
  <si>
    <t>BS4</t>
  </si>
  <si>
    <t>BS5</t>
  </si>
  <si>
    <t>BS6</t>
  </si>
  <si>
    <t>BS7</t>
  </si>
  <si>
    <t>BS8</t>
  </si>
  <si>
    <t>1013000-3</t>
  </si>
  <si>
    <t>1013000-1</t>
  </si>
  <si>
    <t>1013000-2</t>
  </si>
  <si>
    <t>1011000-3</t>
  </si>
  <si>
    <t>1011000-2</t>
  </si>
  <si>
    <t>BS9</t>
  </si>
  <si>
    <t>Undeposited Funds</t>
  </si>
  <si>
    <t>Accounts Receivable</t>
  </si>
  <si>
    <t>Petty Cash</t>
  </si>
  <si>
    <t>Receivables</t>
  </si>
  <si>
    <t>0051320</t>
  </si>
  <si>
    <t>(121-161)</t>
  </si>
  <si>
    <t>BS22</t>
  </si>
  <si>
    <t>Allowance for Doubtful accounts</t>
  </si>
  <si>
    <t>Inventory</t>
  </si>
  <si>
    <t>(171-172)</t>
  </si>
  <si>
    <t>Other Current Assets</t>
  </si>
  <si>
    <t>0051340</t>
  </si>
  <si>
    <t>(181-199)</t>
  </si>
  <si>
    <t xml:space="preserve">Advance to Employee </t>
  </si>
  <si>
    <t>Prepaid Expenses</t>
  </si>
  <si>
    <t>BS23</t>
  </si>
  <si>
    <t>Security Deposit</t>
  </si>
  <si>
    <t>Deferred rent asset</t>
  </si>
  <si>
    <t>BS24</t>
  </si>
  <si>
    <t>Other Assets</t>
  </si>
  <si>
    <t>Due from Others</t>
  </si>
  <si>
    <t>BS25</t>
  </si>
  <si>
    <t>(211-271)</t>
  </si>
  <si>
    <t>Machinery and Equipment// Furniture &amp; Fixtures</t>
  </si>
  <si>
    <t>0068500</t>
  </si>
  <si>
    <t>BS32</t>
  </si>
  <si>
    <t>Land, Building, Furniture and Equipment</t>
  </si>
  <si>
    <t>Accumulated Depreciation</t>
  </si>
  <si>
    <t>BS37</t>
  </si>
  <si>
    <t>Depreciation Expense</t>
  </si>
  <si>
    <t>Leasehold Improvements</t>
  </si>
  <si>
    <t>BS31</t>
  </si>
  <si>
    <t>Furniture &amp; Fixtures</t>
  </si>
  <si>
    <t>Software</t>
  </si>
  <si>
    <t>Building Improvements</t>
  </si>
  <si>
    <t>ROU Asset Equipment</t>
  </si>
  <si>
    <t>BS33</t>
  </si>
  <si>
    <t>ROU Asset Equipment Depreciation</t>
  </si>
  <si>
    <t>Construction in Progress</t>
  </si>
  <si>
    <t>Investment Account</t>
  </si>
  <si>
    <t>0051350</t>
  </si>
  <si>
    <t>BS26</t>
  </si>
  <si>
    <t>Endowment</t>
  </si>
  <si>
    <t>BS27</t>
  </si>
  <si>
    <t>TOTAL ASSETS</t>
  </si>
  <si>
    <t>LIABILITIES</t>
  </si>
  <si>
    <t>Payables</t>
  </si>
  <si>
    <t>0052100</t>
  </si>
  <si>
    <t>(401-472)</t>
  </si>
  <si>
    <t>Accounts Payable</t>
  </si>
  <si>
    <t>BS38</t>
  </si>
  <si>
    <t>Deferred Revenues</t>
  </si>
  <si>
    <t>0052260</t>
  </si>
  <si>
    <t>BS40</t>
  </si>
  <si>
    <t>Other Liabilities</t>
  </si>
  <si>
    <t>Other Current Liabilities</t>
  </si>
  <si>
    <t>(491-499)</t>
  </si>
  <si>
    <t>Loan Payable</t>
  </si>
  <si>
    <t>BS51</t>
  </si>
  <si>
    <t>Loan(s)/Note(s) Payable</t>
  </si>
  <si>
    <t>Line of credit</t>
  </si>
  <si>
    <t>0052290</t>
  </si>
  <si>
    <t>BS52</t>
  </si>
  <si>
    <t>Line(s) of Credit</t>
  </si>
  <si>
    <t>Current portion, long term debt</t>
  </si>
  <si>
    <t>0052500</t>
  </si>
  <si>
    <t>Credit Card Payable</t>
  </si>
  <si>
    <t>Accrued rent liability ST</t>
  </si>
  <si>
    <t>BS39</t>
  </si>
  <si>
    <t>Accrued Expenses</t>
  </si>
  <si>
    <t>Accrued rent liability LT</t>
  </si>
  <si>
    <t>Accrued Salaries and Benefits</t>
  </si>
  <si>
    <t>Accrued Benefits</t>
  </si>
  <si>
    <t>Payroll Liabilities</t>
  </si>
  <si>
    <t>Health Insurance</t>
  </si>
  <si>
    <t>ER Retirement Contributions</t>
  </si>
  <si>
    <t>EE Retirement Contributions</t>
  </si>
  <si>
    <t>LA Unemployment Tax</t>
  </si>
  <si>
    <t>FSA</t>
  </si>
  <si>
    <t>DCare</t>
  </si>
  <si>
    <t>Garnishments</t>
  </si>
  <si>
    <t>Other Benefits</t>
  </si>
  <si>
    <t>Due to Union</t>
  </si>
  <si>
    <t>Due to Others</t>
  </si>
  <si>
    <t>Operating Lease Liability</t>
  </si>
  <si>
    <t>BS41</t>
  </si>
  <si>
    <t>Bonded Debt</t>
  </si>
  <si>
    <t>0052350</t>
  </si>
  <si>
    <t>Vested Compensated Absences</t>
  </si>
  <si>
    <t>0052400</t>
  </si>
  <si>
    <t>BS54</t>
  </si>
  <si>
    <t>Other Long-Term Obligations</t>
  </si>
  <si>
    <t>(OTH 5xx)</t>
  </si>
  <si>
    <t>Accrued Lease Obligation (LT)</t>
  </si>
  <si>
    <t>BS53</t>
  </si>
  <si>
    <t>Senior Debt</t>
  </si>
  <si>
    <t>TOTAL LIABILITIES</t>
  </si>
  <si>
    <t>Non-Spendable Fund Balance</t>
  </si>
  <si>
    <t>0052900</t>
  </si>
  <si>
    <t>Spendable Fund Balances</t>
  </si>
  <si>
    <t>a. Restricted Fund Balance</t>
  </si>
  <si>
    <t>0053200</t>
  </si>
  <si>
    <t>BS56</t>
  </si>
  <si>
    <t>Other Changes in Restricted Net Assets</t>
  </si>
  <si>
    <t>b. Committed Fund Balance</t>
  </si>
  <si>
    <t>0053300</t>
  </si>
  <si>
    <t>Opening Balance Equity</t>
  </si>
  <si>
    <t>c. Assigned Fund Balance</t>
  </si>
  <si>
    <t>0053400</t>
  </si>
  <si>
    <t>BS57</t>
  </si>
  <si>
    <t xml:space="preserve">Unreserved Retained Earnings </t>
  </si>
  <si>
    <t>d. Unassigned Fund Balance</t>
  </si>
  <si>
    <t>0053500</t>
  </si>
  <si>
    <t>Net Revenue</t>
  </si>
  <si>
    <t>Retained Earnings</t>
  </si>
  <si>
    <t>ReDesign Schools Louisiana</t>
  </si>
  <si>
    <t>Profit and Loss</t>
  </si>
  <si>
    <t>July - December, 2024</t>
  </si>
  <si>
    <t>Total</t>
  </si>
  <si>
    <t xml:space="preserve">      4559000 Other ESSA Programs</t>
  </si>
  <si>
    <t xml:space="preserve">   4444444 Uncategorized Income</t>
  </si>
  <si>
    <t xml:space="preserve">      1142190 Parent Liaison</t>
  </si>
  <si>
    <t xml:space="preserve">      2402231 Professional Development - Tuition</t>
  </si>
  <si>
    <t xml:space="preserve">      3002160 Occupational Therapy and Related Svcs</t>
  </si>
  <si>
    <t xml:space="preserve">      5001100 Communcation</t>
  </si>
  <si>
    <t xml:space="preserve">   9999999 Uncategorized Expense</t>
  </si>
  <si>
    <t>Wednesday, Mar 12, 2025 06:09:44 PM GMT-7 - Accrual Basis</t>
  </si>
  <si>
    <t>Profit and Loss by Customer - Lanier</t>
  </si>
  <si>
    <t>4</t>
  </si>
  <si>
    <t>CCS Stipends</t>
  </si>
  <si>
    <t>DCA Stipends</t>
  </si>
  <si>
    <t>Tutoring</t>
  </si>
  <si>
    <t>Total 4</t>
  </si>
  <si>
    <t>5</t>
  </si>
  <si>
    <t>ESSER 3 EB</t>
  </si>
  <si>
    <t>ESSER 3 F</t>
  </si>
  <si>
    <t>ESSER 3 INC</t>
  </si>
  <si>
    <t>Homeless ARP</t>
  </si>
  <si>
    <t>IDEA 611</t>
  </si>
  <si>
    <t>IDEA 619</t>
  </si>
  <si>
    <t>Total 5</t>
  </si>
  <si>
    <t>6</t>
  </si>
  <si>
    <t>CLSD 6-8</t>
  </si>
  <si>
    <t>CLSD K-5</t>
  </si>
  <si>
    <t>Total 6</t>
  </si>
  <si>
    <t>7</t>
  </si>
  <si>
    <t>Total 7</t>
  </si>
  <si>
    <t>Wednesday, Mar 12, 2025 06:07:47 PM GMT-7 - Accrual Basis</t>
  </si>
  <si>
    <t>Form A Mapping For Semi-Annual 1</t>
  </si>
  <si>
    <t>Form A Mapping For Semi-Annual 2</t>
  </si>
  <si>
    <t>*formula requires edit for salary range</t>
  </si>
  <si>
    <t>*formula requires edit for salary total</t>
  </si>
  <si>
    <t>Year</t>
  </si>
  <si>
    <t>Site Code
(DOE Assigned Site Code)</t>
  </si>
  <si>
    <t>Site Code Description
(System/School Name)</t>
  </si>
  <si>
    <t xml:space="preserve">Type </t>
  </si>
  <si>
    <t>Category</t>
  </si>
  <si>
    <t xml:space="preserve">Description </t>
  </si>
  <si>
    <t>Source/Function Code (L.A.U.G.H)</t>
  </si>
  <si>
    <t xml:space="preserve">General Budget Revenue/Actual 2023- 2024 </t>
  </si>
  <si>
    <t>General Fund Budget/Budgeted 2024 - 2025</t>
  </si>
  <si>
    <t>General Fund SemiAnnual (Q1 and Q2) 2024 -2025</t>
  </si>
  <si>
    <t>General Fund SemiAnnual (Q3 and Q4) 2024-2025</t>
  </si>
  <si>
    <t xml:space="preserve">Special Revenue Funds/Actual 2023- 2024 </t>
  </si>
  <si>
    <t>Special Revenue Funds/Budgeted 2024 - 2025</t>
  </si>
  <si>
    <t>Special Revenue SemiAnnual (Q1 and Q2) 2024-2025</t>
  </si>
  <si>
    <t>Special Revenue SemiAnnual (Q3 and Q4) 2024-2025</t>
  </si>
  <si>
    <t xml:space="preserve">Revenue </t>
  </si>
  <si>
    <t>Local Sources</t>
  </si>
  <si>
    <t>State Sources (Other than MFP)</t>
  </si>
  <si>
    <t>MFP (Exclude School Lunch)</t>
  </si>
  <si>
    <t>MFP (School Lunch Fund)</t>
  </si>
  <si>
    <t>Federal Sources</t>
  </si>
  <si>
    <t>Revenues/Other Sources of Funds</t>
  </si>
  <si>
    <t xml:space="preserve">Instruction </t>
  </si>
  <si>
    <t>Support Services Program</t>
  </si>
  <si>
    <t>Operation of Non-Instructional Services</t>
  </si>
  <si>
    <t>Other Use Funds</t>
  </si>
  <si>
    <t>Other Use of Funds</t>
  </si>
  <si>
    <t>3AP001</t>
  </si>
  <si>
    <t>Redesign Lanier Charter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</si>
</sst>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7" formatCode="&quot;$&quot;#,##0.00_);\(&quot;$&quot;#,##0.00\)"/>
    <numFmt numFmtId="8" formatCode="&quot;$&quot;#,##0.00_);[Red]\(&quot;$&quot;#,##0.00\)"/>
    <numFmt numFmtId="41" formatCode="_(* #,##0_);_(* \(#,##0\);_(* &quot;-&quot;_);_(@_)"/>
    <numFmt numFmtId="43" formatCode="_(* #,##0.00_);_(* \(#,##0.00\);_(* &quot;-&quot;??_);_(@_)"/>
    <numFmt numFmtId="164" formatCode="0.0%"/>
    <numFmt numFmtId="165" formatCode="_(* #,##0_);_(* \(#,##0\);_(* &quot;-&quot;??_);_(@_)"/>
    <numFmt numFmtId="166" formatCode="#,##0.00\ _€"/>
    <numFmt numFmtId="167" formatCode="&quot;$&quot;* #,##0.00\ _€"/>
    <numFmt numFmtId="168" formatCode="_(&quot;$&quot;* #,##0_);_(&quot;$&quot;* \(#,##0\);_(&quot;$&quot;* &quot;-&quot;??_);_(@_)"/>
  </numFmts>
  <fonts count="81">
    <font>
      <sz val="12"/>
      <name val="Arial MT"/>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b/>
      <sz val="14"/>
      <name val="Arial"/>
      <family val="2"/>
    </font>
    <font>
      <b/>
      <sz val="10"/>
      <name val="Arial"/>
      <family val="2"/>
    </font>
    <font>
      <b/>
      <sz val="12"/>
      <name val="Arial"/>
      <family val="2"/>
    </font>
    <font>
      <sz val="10"/>
      <name val="Arial"/>
      <family val="2"/>
    </font>
    <font>
      <sz val="11"/>
      <name val="Arial"/>
      <family val="2"/>
    </font>
    <font>
      <b/>
      <sz val="11"/>
      <name val="Arial"/>
      <family val="2"/>
    </font>
    <font>
      <sz val="9"/>
      <name val="Arial"/>
      <family val="2"/>
    </font>
    <font>
      <sz val="14"/>
      <name val="Arial"/>
      <family val="2"/>
    </font>
    <font>
      <i/>
      <sz val="11"/>
      <name val="Arial"/>
      <family val="2"/>
    </font>
    <font>
      <b/>
      <u/>
      <sz val="11"/>
      <name val="Arial"/>
      <family val="2"/>
    </font>
    <font>
      <u/>
      <sz val="11"/>
      <name val="Arial"/>
      <family val="2"/>
    </font>
    <font>
      <b/>
      <sz val="12"/>
      <name val="Arial MT"/>
    </font>
    <font>
      <b/>
      <u/>
      <sz val="14"/>
      <name val="Arial"/>
      <family val="2"/>
    </font>
    <font>
      <sz val="11"/>
      <name val="Symbol"/>
      <family val="1"/>
      <charset val="2"/>
    </font>
    <font>
      <sz val="7"/>
      <name val="Times New Roman"/>
      <family val="1"/>
    </font>
    <font>
      <sz val="11"/>
      <name val="Calibri"/>
      <family val="2"/>
    </font>
    <font>
      <i/>
      <sz val="11"/>
      <name val="Calibri"/>
      <family val="2"/>
    </font>
    <font>
      <sz val="11"/>
      <color rgb="FF0070C0"/>
      <name val="Symbol"/>
      <family val="1"/>
      <charset val="2"/>
    </font>
    <font>
      <sz val="7"/>
      <color rgb="FF0070C0"/>
      <name val="Times New Roman"/>
      <family val="1"/>
    </font>
    <font>
      <sz val="11"/>
      <color rgb="FF0070C0"/>
      <name val="Calibri"/>
      <family val="2"/>
    </font>
    <font>
      <u/>
      <sz val="10"/>
      <name val="Arial"/>
      <family val="2"/>
    </font>
    <font>
      <b/>
      <sz val="14"/>
      <name val="Arial MT"/>
    </font>
    <font>
      <sz val="12"/>
      <name val="Arial MT"/>
    </font>
    <font>
      <b/>
      <sz val="8"/>
      <color theme="0"/>
      <name val="Arial"/>
      <family val="2"/>
    </font>
    <font>
      <sz val="8"/>
      <name val="Arial"/>
      <family val="2"/>
    </font>
    <font>
      <b/>
      <sz val="8"/>
      <name val="Arial"/>
      <family val="2"/>
    </font>
    <font>
      <b/>
      <sz val="9"/>
      <color indexed="8"/>
      <name val="Arial"/>
      <family val="2"/>
    </font>
    <font>
      <b/>
      <sz val="8"/>
      <color indexed="8"/>
      <name val="Arial"/>
      <family val="2"/>
    </font>
    <font>
      <sz val="8"/>
      <color indexed="8"/>
      <name val="Arial"/>
      <family val="2"/>
    </font>
    <font>
      <sz val="12"/>
      <color rgb="FF000000"/>
      <name val="Calibri"/>
      <family val="2"/>
      <scheme val="minor"/>
    </font>
    <font>
      <sz val="11"/>
      <color rgb="FFFF0000"/>
      <name val="Calibri"/>
      <family val="2"/>
    </font>
    <font>
      <sz val="10"/>
      <color rgb="FF000000"/>
      <name val="Calibri"/>
      <family val="2"/>
    </font>
    <font>
      <sz val="10"/>
      <name val="Calibri"/>
      <family val="2"/>
    </font>
    <font>
      <b/>
      <sz val="10"/>
      <color rgb="FF000000"/>
      <name val="Calibri"/>
      <family val="2"/>
    </font>
    <font>
      <b/>
      <sz val="12"/>
      <color rgb="FF000000"/>
      <name val="Calibri"/>
      <family val="2"/>
      <scheme val="minor"/>
    </font>
    <font>
      <sz val="12"/>
      <color theme="1"/>
      <name val="Arial"/>
      <family val="2"/>
    </font>
    <font>
      <sz val="12"/>
      <color rgb="FF000000"/>
      <name val="Arial"/>
      <family val="2"/>
    </font>
    <font>
      <sz val="12"/>
      <color rgb="FFFF0000"/>
      <name val="Calibri"/>
      <family val="2"/>
      <scheme val="minor"/>
    </font>
    <font>
      <b/>
      <sz val="12"/>
      <color rgb="FFFF0000"/>
      <name val="Calibri"/>
      <family val="2"/>
      <scheme val="minor"/>
    </font>
    <font>
      <sz val="7"/>
      <name val="Arial"/>
      <family val="2"/>
    </font>
    <font>
      <b/>
      <sz val="18"/>
      <name val="Arial"/>
      <family val="2"/>
    </font>
    <font>
      <b/>
      <sz val="9"/>
      <name val="Arial"/>
      <family val="2"/>
    </font>
    <font>
      <sz val="10"/>
      <color indexed="12"/>
      <name val="Arial"/>
      <family val="2"/>
    </font>
    <font>
      <b/>
      <u/>
      <sz val="12"/>
      <name val="Arial"/>
      <family val="2"/>
    </font>
    <font>
      <b/>
      <sz val="12"/>
      <color theme="1"/>
      <name val="Arial"/>
      <family val="2"/>
    </font>
    <font>
      <sz val="11"/>
      <color theme="1"/>
      <name val="Arial"/>
      <family val="2"/>
    </font>
    <font>
      <sz val="11"/>
      <color indexed="8"/>
      <name val="Calibri"/>
      <family val="2"/>
      <scheme val="minor"/>
    </font>
    <font>
      <b/>
      <sz val="12"/>
      <name val="Times New Roman"/>
      <family val="1"/>
    </font>
    <font>
      <b/>
      <sz val="12"/>
      <color rgb="FF030303"/>
      <name val="Times New Roman"/>
      <family val="1"/>
    </font>
    <font>
      <b/>
      <sz val="12"/>
      <color theme="1"/>
      <name val="Times New Roman"/>
      <family val="1"/>
    </font>
    <font>
      <sz val="12"/>
      <color theme="1"/>
      <name val="Times New Roman"/>
      <family val="1"/>
    </font>
    <font>
      <sz val="12"/>
      <name val="Times New Roman"/>
      <family val="1"/>
    </font>
    <font>
      <sz val="11"/>
      <color theme="1"/>
      <name val="Times New Roman"/>
      <family val="1"/>
    </font>
    <font>
      <b/>
      <sz val="11"/>
      <color rgb="FFFF0000"/>
      <name val="Calibri"/>
      <family val="2"/>
      <scheme val="minor"/>
    </font>
    <font>
      <sz val="11"/>
      <color rgb="FF000000"/>
      <name val="Calibri"/>
      <family val="2"/>
      <scheme val="minor"/>
    </font>
    <font>
      <sz val="9"/>
      <color rgb="FF000000"/>
      <name val="Arial"/>
      <family val="2"/>
    </font>
    <font>
      <sz val="11"/>
      <color theme="1"/>
      <name val="Calibri"/>
      <family val="2"/>
    </font>
    <font>
      <sz val="11"/>
      <color rgb="FF000000"/>
      <name val="Arial"/>
      <family val="2"/>
    </font>
    <font>
      <sz val="11"/>
      <color rgb="FF404040"/>
      <name val="Arial"/>
      <family val="2"/>
    </font>
    <font>
      <b/>
      <sz val="12"/>
      <color rgb="FF0000FF"/>
      <name val="&quot;Arial MT&quot;"/>
    </font>
    <font>
      <b/>
      <sz val="12"/>
      <color theme="1"/>
      <name val="&quot;Arial MT&quot;"/>
    </font>
    <font>
      <sz val="12"/>
      <color theme="1"/>
      <name val="&quot;Arial MT&quot;"/>
    </font>
    <font>
      <sz val="12"/>
      <color rgb="FF0000FF"/>
      <name val="&quot;Arial MT&quot;"/>
    </font>
    <font>
      <b/>
      <u/>
      <sz val="14"/>
      <color theme="1"/>
      <name val="&quot;Arial MT&quot;"/>
    </font>
    <font>
      <b/>
      <sz val="14"/>
      <color theme="1"/>
      <name val="&quot;Arial MT&quot;"/>
    </font>
    <font>
      <b/>
      <i/>
      <sz val="12"/>
      <color theme="1"/>
      <name val="&quot;Arial MT&quot;"/>
    </font>
    <font>
      <b/>
      <sz val="11"/>
      <color theme="1"/>
      <name val="&quot;Arial MT&quot;"/>
    </font>
    <font>
      <i/>
      <sz val="12"/>
      <color theme="1"/>
      <name val="&quot;Arial MT&quot;"/>
    </font>
    <font>
      <sz val="11"/>
      <color rgb="FF404040"/>
      <name val="&quot;Avenir Next forINTUIT&quot;"/>
    </font>
    <font>
      <sz val="8"/>
      <color rgb="FF000000"/>
      <name val="Arial"/>
      <family val="2"/>
    </font>
    <font>
      <b/>
      <sz val="14"/>
      <color indexed="8"/>
      <name val="Arial"/>
      <family val="2"/>
    </font>
    <font>
      <b/>
      <sz val="10"/>
      <color indexed="8"/>
      <name val="Arial"/>
      <family val="2"/>
    </font>
    <font>
      <b/>
      <sz val="9"/>
      <color indexed="8"/>
      <name val="Arial"/>
      <family val="2"/>
    </font>
    <font>
      <b/>
      <sz val="8"/>
      <color indexed="8"/>
      <name val="Arial"/>
      <family val="2"/>
    </font>
    <font>
      <sz val="8"/>
      <color indexed="8"/>
      <name val="Arial"/>
      <family val="2"/>
    </font>
  </fonts>
  <fills count="32">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indexed="43"/>
        <bgColor indexed="8"/>
      </patternFill>
    </fill>
    <fill>
      <patternFill patternType="solid">
        <fgColor rgb="FFFFCC9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99CC"/>
        <bgColor indexed="64"/>
      </patternFill>
    </fill>
    <fill>
      <patternFill patternType="solid">
        <fgColor theme="5" tint="0.59999389629810485"/>
        <bgColor indexed="64"/>
      </patternFill>
    </fill>
    <fill>
      <patternFill patternType="solid">
        <fgColor theme="8"/>
        <bgColor indexed="64"/>
      </patternFill>
    </fill>
    <fill>
      <patternFill patternType="solid">
        <fgColor rgb="FFFFFF00"/>
        <bgColor indexed="64"/>
      </patternFill>
    </fill>
    <fill>
      <patternFill patternType="solid">
        <fgColor rgb="FFEDEDED"/>
        <bgColor rgb="FFEDEDED"/>
      </patternFill>
    </fill>
    <fill>
      <patternFill patternType="solid">
        <fgColor theme="3"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bgColor indexed="64"/>
      </patternFill>
    </fill>
    <fill>
      <patternFill patternType="solid">
        <fgColor rgb="FF92D050"/>
        <bgColor indexed="64"/>
      </patternFill>
    </fill>
    <fill>
      <patternFill patternType="solid">
        <fgColor indexed="22"/>
        <bgColor indexed="8"/>
      </patternFill>
    </fill>
    <fill>
      <patternFill patternType="solid">
        <fgColor rgb="FFFFFF00"/>
        <bgColor rgb="FFFFFF00"/>
      </patternFill>
    </fill>
    <fill>
      <patternFill patternType="solid">
        <fgColor rgb="FFEAD1DC"/>
        <bgColor rgb="FFEAD1DC"/>
      </patternFill>
    </fill>
    <fill>
      <patternFill patternType="solid">
        <fgColor rgb="FF9FC5E8"/>
        <bgColor rgb="FF9FC5E8"/>
      </patternFill>
    </fill>
    <fill>
      <patternFill patternType="solid">
        <fgColor rgb="FFFF0000"/>
        <bgColor rgb="FFFF0000"/>
      </patternFill>
    </fill>
    <fill>
      <patternFill patternType="solid">
        <fgColor rgb="FFECEEF1"/>
        <bgColor rgb="FFECEEF1"/>
      </patternFill>
    </fill>
    <fill>
      <patternFill patternType="solid">
        <fgColor rgb="FFFF0000"/>
        <bgColor indexed="64"/>
      </patternFill>
    </fill>
  </fills>
  <borders count="246">
    <border>
      <left/>
      <right/>
      <top/>
      <bottom/>
      <diagonal/>
    </border>
    <border>
      <left style="double">
        <color indexed="8"/>
      </left>
      <right/>
      <top style="double">
        <color indexed="8"/>
      </top>
      <bottom/>
      <diagonal/>
    </border>
    <border>
      <left style="double">
        <color indexed="8"/>
      </left>
      <right/>
      <top/>
      <bottom/>
      <diagonal/>
    </border>
    <border>
      <left/>
      <right/>
      <top style="double">
        <color indexed="8"/>
      </top>
      <bottom/>
      <diagonal/>
    </border>
    <border>
      <left style="double">
        <color indexed="8"/>
      </left>
      <right/>
      <top/>
      <bottom style="double">
        <color indexed="8"/>
      </bottom>
      <diagonal/>
    </border>
    <border>
      <left style="double">
        <color indexed="64"/>
      </left>
      <right/>
      <top style="thin">
        <color indexed="22"/>
      </top>
      <bottom style="thin">
        <color indexed="22"/>
      </bottom>
      <diagonal/>
    </border>
    <border>
      <left/>
      <right/>
      <top style="thin">
        <color indexed="22"/>
      </top>
      <bottom style="thin">
        <color indexed="22"/>
      </bottom>
      <diagonal/>
    </border>
    <border>
      <left style="double">
        <color indexed="8"/>
      </left>
      <right style="double">
        <color indexed="22"/>
      </right>
      <top/>
      <bottom style="hair">
        <color indexed="64"/>
      </bottom>
      <diagonal/>
    </border>
    <border>
      <left style="double">
        <color indexed="8"/>
      </left>
      <right/>
      <top style="hair">
        <color indexed="64"/>
      </top>
      <bottom/>
      <diagonal/>
    </border>
    <border>
      <left style="double">
        <color indexed="8"/>
      </left>
      <right style="double">
        <color indexed="22"/>
      </right>
      <top style="thin">
        <color indexed="22"/>
      </top>
      <bottom style="thin">
        <color indexed="22"/>
      </bottom>
      <diagonal/>
    </border>
    <border>
      <left style="thin">
        <color indexed="8"/>
      </left>
      <right style="thin">
        <color indexed="55"/>
      </right>
      <top style="thin">
        <color indexed="8"/>
      </top>
      <bottom style="thin">
        <color indexed="55"/>
      </bottom>
      <diagonal/>
    </border>
    <border>
      <left style="thin">
        <color indexed="55"/>
      </left>
      <right style="thin">
        <color indexed="8"/>
      </right>
      <top style="thin">
        <color indexed="8"/>
      </top>
      <bottom style="thin">
        <color indexed="55"/>
      </bottom>
      <diagonal/>
    </border>
    <border>
      <left style="thin">
        <color indexed="8"/>
      </left>
      <right style="thin">
        <color indexed="55"/>
      </right>
      <top style="thin">
        <color indexed="55"/>
      </top>
      <bottom style="thin">
        <color indexed="55"/>
      </bottom>
      <diagonal/>
    </border>
    <border>
      <left style="thin">
        <color indexed="55"/>
      </left>
      <right style="thin">
        <color indexed="8"/>
      </right>
      <top style="thin">
        <color indexed="55"/>
      </top>
      <bottom style="thin">
        <color indexed="55"/>
      </bottom>
      <diagonal/>
    </border>
    <border>
      <left style="thin">
        <color indexed="8"/>
      </left>
      <right style="thin">
        <color indexed="55"/>
      </right>
      <top style="thin">
        <color indexed="55"/>
      </top>
      <bottom style="thin">
        <color indexed="8"/>
      </bottom>
      <diagonal/>
    </border>
    <border>
      <left style="thin">
        <color indexed="55"/>
      </left>
      <right style="thin">
        <color indexed="8"/>
      </right>
      <top style="thin">
        <color indexed="55"/>
      </top>
      <bottom style="thin">
        <color indexed="8"/>
      </bottom>
      <diagonal/>
    </border>
    <border>
      <left/>
      <right style="double">
        <color indexed="8"/>
      </right>
      <top style="thin">
        <color indexed="22"/>
      </top>
      <bottom style="thin">
        <color indexed="22"/>
      </bottom>
      <diagonal/>
    </border>
    <border>
      <left style="double">
        <color indexed="23"/>
      </left>
      <right style="double">
        <color indexed="23"/>
      </right>
      <top style="thin">
        <color indexed="22"/>
      </top>
      <bottom style="thin">
        <color indexed="22"/>
      </bottom>
      <diagonal/>
    </border>
    <border>
      <left style="double">
        <color indexed="23"/>
      </left>
      <right style="double">
        <color indexed="23"/>
      </right>
      <top style="thin">
        <color indexed="55"/>
      </top>
      <bottom style="thin">
        <color indexed="55"/>
      </bottom>
      <diagonal/>
    </border>
    <border>
      <left style="double">
        <color indexed="23"/>
      </left>
      <right style="double">
        <color indexed="23"/>
      </right>
      <top style="thin">
        <color indexed="55"/>
      </top>
      <bottom style="thin">
        <color indexed="22"/>
      </bottom>
      <diagonal/>
    </border>
    <border>
      <left/>
      <right style="double">
        <color indexed="23"/>
      </right>
      <top style="thin">
        <color indexed="22"/>
      </top>
      <bottom style="thin">
        <color indexed="22"/>
      </bottom>
      <diagonal/>
    </border>
    <border>
      <left style="double">
        <color indexed="23"/>
      </left>
      <right style="thin">
        <color indexed="23"/>
      </right>
      <top style="thin">
        <color indexed="22"/>
      </top>
      <bottom style="thin">
        <color indexed="22"/>
      </bottom>
      <diagonal/>
    </border>
    <border>
      <left/>
      <right style="double">
        <color indexed="23"/>
      </right>
      <top style="thin">
        <color indexed="22"/>
      </top>
      <bottom style="thin">
        <color indexed="55"/>
      </bottom>
      <diagonal/>
    </border>
    <border>
      <left style="double">
        <color indexed="23"/>
      </left>
      <right style="thin">
        <color indexed="23"/>
      </right>
      <top style="thin">
        <color indexed="22"/>
      </top>
      <bottom style="thin">
        <color indexed="55"/>
      </bottom>
      <diagonal/>
    </border>
    <border>
      <left style="double">
        <color indexed="23"/>
      </left>
      <right/>
      <top style="thin">
        <color indexed="22"/>
      </top>
      <bottom style="thin">
        <color indexed="22"/>
      </bottom>
      <diagonal/>
    </border>
    <border>
      <left style="thin">
        <color indexed="23"/>
      </left>
      <right style="double">
        <color indexed="23"/>
      </right>
      <top style="thin">
        <color indexed="22"/>
      </top>
      <bottom style="thin">
        <color indexed="22"/>
      </bottom>
      <diagonal/>
    </border>
    <border>
      <left style="thin">
        <color indexed="23"/>
      </left>
      <right style="double">
        <color indexed="23"/>
      </right>
      <top/>
      <bottom style="thin">
        <color indexed="22"/>
      </bottom>
      <diagonal/>
    </border>
    <border>
      <left style="double">
        <color indexed="64"/>
      </left>
      <right/>
      <top/>
      <bottom style="thin">
        <color indexed="22"/>
      </bottom>
      <diagonal/>
    </border>
    <border>
      <left/>
      <right/>
      <top/>
      <bottom style="thin">
        <color indexed="22"/>
      </bottom>
      <diagonal/>
    </border>
    <border>
      <left style="double">
        <color indexed="23"/>
      </left>
      <right style="double">
        <color indexed="23"/>
      </right>
      <top/>
      <bottom style="thin">
        <color indexed="22"/>
      </bottom>
      <diagonal/>
    </border>
    <border>
      <left style="double">
        <color indexed="23"/>
      </left>
      <right style="thin">
        <color indexed="23"/>
      </right>
      <top/>
      <bottom style="thin">
        <color indexed="22"/>
      </bottom>
      <diagonal/>
    </border>
    <border>
      <left/>
      <right style="double">
        <color indexed="23"/>
      </right>
      <top/>
      <bottom style="thin">
        <color indexed="22"/>
      </bottom>
      <diagonal/>
    </border>
    <border>
      <left style="double">
        <color indexed="23"/>
      </left>
      <right style="double">
        <color indexed="23"/>
      </right>
      <top/>
      <bottom style="thin">
        <color indexed="55"/>
      </bottom>
      <diagonal/>
    </border>
    <border>
      <left/>
      <right style="double">
        <color indexed="8"/>
      </right>
      <top/>
      <bottom style="thin">
        <color indexed="22"/>
      </bottom>
      <diagonal/>
    </border>
    <border>
      <left style="double">
        <color indexed="23"/>
      </left>
      <right/>
      <top/>
      <bottom style="thin">
        <color indexed="22"/>
      </bottom>
      <diagonal/>
    </border>
    <border>
      <left style="double">
        <color indexed="64"/>
      </left>
      <right/>
      <top style="thin">
        <color indexed="22"/>
      </top>
      <bottom/>
      <diagonal/>
    </border>
    <border>
      <left/>
      <right/>
      <top style="thin">
        <color indexed="22"/>
      </top>
      <bottom/>
      <diagonal/>
    </border>
    <border>
      <left style="double">
        <color indexed="23"/>
      </left>
      <right style="double">
        <color indexed="23"/>
      </right>
      <top style="thin">
        <color indexed="22"/>
      </top>
      <bottom/>
      <diagonal/>
    </border>
    <border>
      <left style="double">
        <color indexed="23"/>
      </left>
      <right style="thin">
        <color indexed="23"/>
      </right>
      <top style="thin">
        <color indexed="22"/>
      </top>
      <bottom/>
      <diagonal/>
    </border>
    <border>
      <left/>
      <right style="double">
        <color indexed="23"/>
      </right>
      <top style="thin">
        <color indexed="22"/>
      </top>
      <bottom/>
      <diagonal/>
    </border>
    <border>
      <left/>
      <right style="double">
        <color indexed="8"/>
      </right>
      <top style="thin">
        <color indexed="22"/>
      </top>
      <bottom/>
      <diagonal/>
    </border>
    <border>
      <left/>
      <right/>
      <top style="thin">
        <color indexed="55"/>
      </top>
      <bottom style="thin">
        <color indexed="55"/>
      </bottom>
      <diagonal/>
    </border>
    <border>
      <left/>
      <right style="double">
        <color indexed="8"/>
      </right>
      <top style="thin">
        <color indexed="55"/>
      </top>
      <bottom style="thin">
        <color indexed="55"/>
      </bottom>
      <diagonal/>
    </border>
    <border>
      <left/>
      <right style="double">
        <color indexed="23"/>
      </right>
      <top style="thin">
        <color indexed="55"/>
      </top>
      <bottom style="thin">
        <color indexed="22"/>
      </bottom>
      <diagonal/>
    </border>
    <border>
      <left/>
      <right style="double">
        <color indexed="23"/>
      </right>
      <top style="thin">
        <color indexed="55"/>
      </top>
      <bottom style="thin">
        <color indexed="55"/>
      </bottom>
      <diagonal/>
    </border>
    <border>
      <left style="double">
        <color indexed="23"/>
      </left>
      <right style="thin">
        <color indexed="23"/>
      </right>
      <top style="thin">
        <color indexed="55"/>
      </top>
      <bottom style="thin">
        <color indexed="22"/>
      </bottom>
      <diagonal/>
    </border>
    <border>
      <left style="double">
        <color indexed="23"/>
      </left>
      <right style="thin">
        <color indexed="23"/>
      </right>
      <top style="thin">
        <color indexed="55"/>
      </top>
      <bottom style="thin">
        <color indexed="55"/>
      </bottom>
      <diagonal/>
    </border>
    <border>
      <left/>
      <right/>
      <top style="thin">
        <color indexed="22"/>
      </top>
      <bottom style="double">
        <color indexed="8"/>
      </bottom>
      <diagonal/>
    </border>
    <border>
      <left style="double">
        <color indexed="23"/>
      </left>
      <right style="double">
        <color indexed="23"/>
      </right>
      <top style="thin">
        <color indexed="22"/>
      </top>
      <bottom style="double">
        <color indexed="8"/>
      </bottom>
      <diagonal/>
    </border>
    <border>
      <left style="double">
        <color indexed="23"/>
      </left>
      <right/>
      <top style="thin">
        <color indexed="22"/>
      </top>
      <bottom style="double">
        <color indexed="8"/>
      </bottom>
      <diagonal/>
    </border>
    <border>
      <left style="thin">
        <color indexed="23"/>
      </left>
      <right style="double">
        <color indexed="23"/>
      </right>
      <top style="thin">
        <color indexed="22"/>
      </top>
      <bottom style="double">
        <color indexed="8"/>
      </bottom>
      <diagonal/>
    </border>
    <border>
      <left/>
      <right style="double">
        <color indexed="8"/>
      </right>
      <top style="thin">
        <color indexed="22"/>
      </top>
      <bottom style="double">
        <color indexed="8"/>
      </bottom>
      <diagonal/>
    </border>
    <border>
      <left style="double">
        <color indexed="8"/>
      </left>
      <right style="double">
        <color indexed="22"/>
      </right>
      <top style="thin">
        <color indexed="22"/>
      </top>
      <bottom style="double">
        <color indexed="8"/>
      </bottom>
      <diagonal/>
    </border>
    <border>
      <left style="double">
        <color indexed="8"/>
      </left>
      <right/>
      <top style="hair">
        <color indexed="64"/>
      </top>
      <bottom style="double">
        <color indexed="8"/>
      </bottom>
      <diagonal/>
    </border>
    <border>
      <left style="double">
        <color indexed="64"/>
      </left>
      <right/>
      <top style="thin">
        <color indexed="22"/>
      </top>
      <bottom style="double">
        <color indexed="8"/>
      </bottom>
      <diagonal/>
    </border>
    <border>
      <left style="double">
        <color indexed="23"/>
      </left>
      <right style="thin">
        <color indexed="23"/>
      </right>
      <top style="thin">
        <color indexed="22"/>
      </top>
      <bottom style="double">
        <color indexed="8"/>
      </bottom>
      <diagonal/>
    </border>
    <border>
      <left/>
      <right style="double">
        <color indexed="23"/>
      </right>
      <top style="thin">
        <color indexed="22"/>
      </top>
      <bottom style="double">
        <color indexed="8"/>
      </bottom>
      <diagonal/>
    </border>
    <border>
      <left style="double">
        <color indexed="23"/>
      </left>
      <right style="double">
        <color indexed="23"/>
      </right>
      <top/>
      <bottom/>
      <diagonal/>
    </border>
    <border>
      <left/>
      <right style="double">
        <color indexed="8"/>
      </right>
      <top/>
      <bottom/>
      <diagonal/>
    </border>
    <border>
      <left style="double">
        <color indexed="8"/>
      </left>
      <right style="double">
        <color indexed="23"/>
      </right>
      <top style="hair">
        <color indexed="64"/>
      </top>
      <bottom/>
      <diagonal/>
    </border>
    <border>
      <left style="double">
        <color indexed="8"/>
      </left>
      <right style="double">
        <color indexed="23"/>
      </right>
      <top style="thin">
        <color indexed="8"/>
      </top>
      <bottom style="thin">
        <color indexed="22"/>
      </bottom>
      <diagonal/>
    </border>
    <border>
      <left style="double">
        <color indexed="8"/>
      </left>
      <right style="double">
        <color indexed="23"/>
      </right>
      <top style="thin">
        <color indexed="22"/>
      </top>
      <bottom style="thin">
        <color indexed="22"/>
      </bottom>
      <diagonal/>
    </border>
    <border>
      <left/>
      <right style="double">
        <color indexed="23"/>
      </right>
      <top/>
      <bottom/>
      <diagonal/>
    </border>
    <border>
      <left style="double">
        <color indexed="23"/>
      </left>
      <right style="thin">
        <color indexed="23"/>
      </right>
      <top style="double">
        <color indexed="8"/>
      </top>
      <bottom style="thin">
        <color indexed="55"/>
      </bottom>
      <diagonal/>
    </border>
    <border>
      <left/>
      <right style="double">
        <color indexed="23"/>
      </right>
      <top/>
      <bottom style="thin">
        <color indexed="55"/>
      </bottom>
      <diagonal/>
    </border>
    <border>
      <left style="double">
        <color indexed="23"/>
      </left>
      <right style="thin">
        <color indexed="55"/>
      </right>
      <top style="double">
        <color indexed="8"/>
      </top>
      <bottom/>
      <diagonal/>
    </border>
    <border>
      <left style="double">
        <color indexed="23"/>
      </left>
      <right style="thin">
        <color indexed="55"/>
      </right>
      <top/>
      <bottom style="thin">
        <color indexed="22"/>
      </bottom>
      <diagonal/>
    </border>
    <border>
      <left style="double">
        <color indexed="23"/>
      </left>
      <right style="thin">
        <color indexed="55"/>
      </right>
      <top style="thin">
        <color indexed="22"/>
      </top>
      <bottom style="thin">
        <color indexed="22"/>
      </bottom>
      <diagonal/>
    </border>
    <border>
      <left style="double">
        <color indexed="23"/>
      </left>
      <right style="thin">
        <color indexed="55"/>
      </right>
      <top style="thin">
        <color indexed="22"/>
      </top>
      <bottom/>
      <diagonal/>
    </border>
    <border>
      <left style="double">
        <color indexed="23"/>
      </left>
      <right style="thin">
        <color indexed="55"/>
      </right>
      <top style="thin">
        <color indexed="22"/>
      </top>
      <bottom style="double">
        <color indexed="8"/>
      </bottom>
      <diagonal/>
    </border>
    <border>
      <left style="double">
        <color indexed="23"/>
      </left>
      <right style="double">
        <color indexed="23"/>
      </right>
      <top style="thin">
        <color indexed="22"/>
      </top>
      <bottom style="thin">
        <color indexed="23"/>
      </bottom>
      <diagonal/>
    </border>
    <border>
      <left style="double">
        <color indexed="23"/>
      </left>
      <right style="thin">
        <color indexed="23"/>
      </right>
      <top style="thin">
        <color indexed="22"/>
      </top>
      <bottom style="thin">
        <color indexed="23"/>
      </bottom>
      <diagonal/>
    </border>
    <border>
      <left/>
      <right style="double">
        <color indexed="23"/>
      </right>
      <top style="thin">
        <color indexed="22"/>
      </top>
      <bottom style="thin">
        <color indexed="23"/>
      </bottom>
      <diagonal/>
    </border>
    <border>
      <left/>
      <right style="double">
        <color indexed="8"/>
      </right>
      <top style="thin">
        <color indexed="22"/>
      </top>
      <bottom style="thin">
        <color indexed="23"/>
      </bottom>
      <diagonal/>
    </border>
    <border>
      <left style="double">
        <color indexed="8"/>
      </left>
      <right style="double">
        <color indexed="22"/>
      </right>
      <top/>
      <bottom style="thin">
        <color indexed="22"/>
      </bottom>
      <diagonal/>
    </border>
    <border>
      <left style="double">
        <color indexed="23"/>
      </left>
      <right/>
      <top/>
      <bottom/>
      <diagonal/>
    </border>
    <border>
      <left style="thin">
        <color indexed="23"/>
      </left>
      <right style="double">
        <color indexed="23"/>
      </right>
      <top/>
      <bottom/>
      <diagonal/>
    </border>
    <border>
      <left style="double">
        <color indexed="23"/>
      </left>
      <right style="thin">
        <color indexed="23"/>
      </right>
      <top/>
      <bottom style="thin">
        <color indexed="55"/>
      </bottom>
      <diagonal/>
    </border>
    <border>
      <left style="double">
        <color indexed="8"/>
      </left>
      <right style="double">
        <color indexed="23"/>
      </right>
      <top/>
      <bottom style="thin">
        <color indexed="22"/>
      </bottom>
      <diagonal/>
    </border>
    <border>
      <left style="thin">
        <color indexed="8"/>
      </left>
      <right style="hair">
        <color indexed="22"/>
      </right>
      <top style="thin">
        <color indexed="8"/>
      </top>
      <bottom style="double">
        <color indexed="22"/>
      </bottom>
      <diagonal/>
    </border>
    <border>
      <left style="hair">
        <color indexed="22"/>
      </left>
      <right style="hair">
        <color indexed="22"/>
      </right>
      <top style="thin">
        <color indexed="8"/>
      </top>
      <bottom style="double">
        <color indexed="22"/>
      </bottom>
      <diagonal/>
    </border>
    <border>
      <left style="hair">
        <color indexed="22"/>
      </left>
      <right/>
      <top style="thin">
        <color indexed="8"/>
      </top>
      <bottom style="double">
        <color indexed="22"/>
      </bottom>
      <diagonal/>
    </border>
    <border>
      <left style="thin">
        <color indexed="8"/>
      </left>
      <right style="hair">
        <color indexed="22"/>
      </right>
      <top style="double">
        <color indexed="22"/>
      </top>
      <bottom style="thin">
        <color indexed="8"/>
      </bottom>
      <diagonal/>
    </border>
    <border>
      <left style="hair">
        <color indexed="22"/>
      </left>
      <right style="hair">
        <color indexed="22"/>
      </right>
      <top style="double">
        <color indexed="22"/>
      </top>
      <bottom style="thin">
        <color indexed="8"/>
      </bottom>
      <diagonal/>
    </border>
    <border>
      <left style="hair">
        <color indexed="22"/>
      </left>
      <right/>
      <top style="double">
        <color indexed="22"/>
      </top>
      <bottom style="thin">
        <color indexed="8"/>
      </bottom>
      <diagonal/>
    </border>
    <border>
      <left style="hair">
        <color indexed="22"/>
      </left>
      <right style="hair">
        <color indexed="22"/>
      </right>
      <top style="double">
        <color indexed="22"/>
      </top>
      <bottom style="double">
        <color indexed="22"/>
      </bottom>
      <diagonal/>
    </border>
    <border>
      <left style="thin">
        <color indexed="8"/>
      </left>
      <right style="hair">
        <color indexed="22"/>
      </right>
      <top style="double">
        <color indexed="22"/>
      </top>
      <bottom style="double">
        <color indexed="22"/>
      </bottom>
      <diagonal/>
    </border>
    <border>
      <left style="hair">
        <color indexed="22"/>
      </left>
      <right/>
      <top style="double">
        <color indexed="22"/>
      </top>
      <bottom style="double">
        <color indexed="22"/>
      </bottom>
      <diagonal/>
    </border>
    <border>
      <left style="double">
        <color indexed="23"/>
      </left>
      <right style="thin">
        <color indexed="23"/>
      </right>
      <top/>
      <bottom/>
      <diagonal/>
    </border>
    <border>
      <left/>
      <right style="double">
        <color indexed="8"/>
      </right>
      <top style="thin">
        <color indexed="8"/>
      </top>
      <bottom/>
      <diagonal/>
    </border>
    <border>
      <left/>
      <right style="double">
        <color indexed="8"/>
      </right>
      <top/>
      <bottom style="double">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right style="double">
        <color indexed="8"/>
      </right>
      <top style="double">
        <color indexed="8"/>
      </top>
      <bottom/>
      <diagonal/>
    </border>
    <border>
      <left/>
      <right/>
      <top/>
      <bottom style="double">
        <color indexed="8"/>
      </bottom>
      <diagonal/>
    </border>
    <border>
      <left style="double">
        <color indexed="8"/>
      </left>
      <right style="thin">
        <color indexed="8"/>
      </right>
      <top style="thin">
        <color indexed="8"/>
      </top>
      <bottom/>
      <diagonal/>
    </border>
    <border>
      <left style="double">
        <color indexed="8"/>
      </left>
      <right style="thin">
        <color indexed="8"/>
      </right>
      <top/>
      <bottom/>
      <diagonal/>
    </border>
    <border>
      <left style="double">
        <color indexed="8"/>
      </left>
      <right style="thin">
        <color indexed="8"/>
      </right>
      <top/>
      <bottom style="double">
        <color indexed="8"/>
      </bottom>
      <diagonal/>
    </border>
    <border>
      <left style="double">
        <color indexed="22"/>
      </left>
      <right/>
      <top/>
      <bottom/>
      <diagonal/>
    </border>
    <border>
      <left style="double">
        <color indexed="8"/>
      </left>
      <right style="double">
        <color indexed="8"/>
      </right>
      <top style="double">
        <color indexed="8"/>
      </top>
      <bottom/>
      <diagonal/>
    </border>
    <border>
      <left style="double">
        <color indexed="8"/>
      </left>
      <right style="double">
        <color indexed="8"/>
      </right>
      <top/>
      <bottom style="double">
        <color indexed="8"/>
      </bottom>
      <diagonal/>
    </border>
    <border>
      <left style="double">
        <color indexed="8"/>
      </left>
      <right style="double">
        <color indexed="8"/>
      </right>
      <top/>
      <bottom/>
      <diagonal/>
    </border>
    <border>
      <left/>
      <right/>
      <top/>
      <bottom style="thin">
        <color indexed="8"/>
      </bottom>
      <diagonal/>
    </border>
    <border>
      <left/>
      <right style="double">
        <color indexed="8"/>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uble">
        <color indexed="8"/>
      </left>
      <right style="double">
        <color indexed="8"/>
      </right>
      <top style="thin">
        <color indexed="22"/>
      </top>
      <bottom style="thin">
        <color indexed="22"/>
      </bottom>
      <diagonal/>
    </border>
    <border>
      <left style="double">
        <color indexed="23"/>
      </left>
      <right style="double">
        <color indexed="23"/>
      </right>
      <top/>
      <bottom style="double">
        <color indexed="8"/>
      </bottom>
      <diagonal/>
    </border>
    <border>
      <left/>
      <right/>
      <top/>
      <bottom style="medium">
        <color theme="1"/>
      </bottom>
      <diagonal/>
    </border>
    <border>
      <left/>
      <right style="thin">
        <color indexed="55"/>
      </right>
      <top style="thin">
        <color indexed="22"/>
      </top>
      <bottom style="thin">
        <color indexed="22"/>
      </bottom>
      <diagonal/>
    </border>
    <border>
      <left style="double">
        <color theme="1"/>
      </left>
      <right/>
      <top style="double">
        <color theme="1"/>
      </top>
      <bottom/>
      <diagonal/>
    </border>
    <border>
      <left/>
      <right/>
      <top style="double">
        <color theme="1"/>
      </top>
      <bottom/>
      <diagonal/>
    </border>
    <border>
      <left/>
      <right style="double">
        <color theme="1"/>
      </right>
      <top style="double">
        <color theme="1"/>
      </top>
      <bottom/>
      <diagonal/>
    </border>
    <border>
      <left style="double">
        <color theme="1"/>
      </left>
      <right/>
      <top/>
      <bottom/>
      <diagonal/>
    </border>
    <border>
      <left/>
      <right style="double">
        <color theme="1"/>
      </right>
      <top/>
      <bottom/>
      <diagonal/>
    </border>
    <border>
      <left style="double">
        <color indexed="23"/>
      </left>
      <right style="double">
        <color indexed="8"/>
      </right>
      <top style="thin">
        <color indexed="22"/>
      </top>
      <bottom style="thin">
        <color theme="0" tint="-0.249977111117893"/>
      </bottom>
      <diagonal/>
    </border>
    <border>
      <left style="double">
        <color indexed="23"/>
      </left>
      <right style="double">
        <color indexed="8"/>
      </right>
      <top style="thin">
        <color theme="0" tint="-0.249977111117893"/>
      </top>
      <bottom style="thin">
        <color indexed="22"/>
      </bottom>
      <diagonal/>
    </border>
    <border>
      <left style="double">
        <color indexed="23"/>
      </left>
      <right style="double">
        <color indexed="8"/>
      </right>
      <top style="thin">
        <color theme="0" tint="-0.249977111117893"/>
      </top>
      <bottom/>
      <diagonal/>
    </border>
    <border>
      <left style="double">
        <color indexed="23"/>
      </left>
      <right style="thin">
        <color indexed="55"/>
      </right>
      <top/>
      <bottom style="thin">
        <color theme="0" tint="-0.249977111117893"/>
      </bottom>
      <diagonal/>
    </border>
    <border>
      <left/>
      <right style="double">
        <color indexed="23"/>
      </right>
      <top/>
      <bottom style="thin">
        <color theme="0" tint="-0.249977111117893"/>
      </bottom>
      <diagonal/>
    </border>
    <border>
      <left style="double">
        <color indexed="64"/>
      </left>
      <right style="double">
        <color indexed="64"/>
      </right>
      <top style="double">
        <color indexed="64"/>
      </top>
      <bottom style="double">
        <color indexed="64"/>
      </bottom>
      <diagonal/>
    </border>
    <border>
      <left/>
      <right/>
      <top style="thin">
        <color indexed="8"/>
      </top>
      <bottom style="thin">
        <color indexed="8"/>
      </bottom>
      <diagonal/>
    </border>
    <border>
      <left style="double">
        <color theme="1"/>
      </left>
      <right style="double">
        <color theme="1"/>
      </right>
      <top style="double">
        <color theme="1"/>
      </top>
      <bottom style="double">
        <color theme="1"/>
      </bottom>
      <diagonal/>
    </border>
    <border>
      <left/>
      <right/>
      <top style="double">
        <color theme="1"/>
      </top>
      <bottom style="double">
        <color theme="1"/>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double">
        <color theme="1"/>
      </left>
      <right style="double">
        <color theme="1"/>
      </right>
      <top style="double">
        <color theme="1"/>
      </top>
      <bottom/>
      <diagonal/>
    </border>
    <border>
      <left style="double">
        <color theme="1"/>
      </left>
      <right style="double">
        <color theme="1"/>
      </right>
      <top/>
      <bottom style="double">
        <color theme="1"/>
      </bottom>
      <diagonal/>
    </border>
    <border>
      <left style="double">
        <color theme="1"/>
      </left>
      <right style="double">
        <color indexed="8"/>
      </right>
      <top style="double">
        <color theme="1"/>
      </top>
      <bottom/>
      <diagonal/>
    </border>
    <border>
      <left style="double">
        <color indexed="8"/>
      </left>
      <right style="double">
        <color theme="1"/>
      </right>
      <top style="double">
        <color theme="1"/>
      </top>
      <bottom/>
      <diagonal/>
    </border>
    <border>
      <left style="double">
        <color theme="1"/>
      </left>
      <right style="double">
        <color indexed="8"/>
      </right>
      <top/>
      <bottom/>
      <diagonal/>
    </border>
    <border>
      <left style="double">
        <color indexed="8"/>
      </left>
      <right style="double">
        <color theme="1"/>
      </right>
      <top/>
      <bottom/>
      <diagonal/>
    </border>
    <border>
      <left style="double">
        <color theme="1"/>
      </left>
      <right style="double">
        <color indexed="8"/>
      </right>
      <top/>
      <bottom style="double">
        <color theme="1"/>
      </bottom>
      <diagonal/>
    </border>
    <border>
      <left style="double">
        <color indexed="8"/>
      </left>
      <right style="double">
        <color theme="1"/>
      </right>
      <top/>
      <bottom style="double">
        <color theme="1"/>
      </bottom>
      <diagonal/>
    </border>
    <border>
      <left/>
      <right/>
      <top style="thin">
        <color indexed="8"/>
      </top>
      <bottom/>
      <diagonal/>
    </border>
    <border>
      <left style="double">
        <color theme="1"/>
      </left>
      <right style="double">
        <color theme="1"/>
      </right>
      <top style="double">
        <color theme="1"/>
      </top>
      <bottom style="thin">
        <color theme="1"/>
      </bottom>
      <diagonal/>
    </border>
    <border>
      <left style="thin">
        <color theme="1"/>
      </left>
      <right style="double">
        <color theme="1"/>
      </right>
      <top style="thin">
        <color theme="1"/>
      </top>
      <bottom style="double">
        <color theme="1"/>
      </bottom>
      <diagonal/>
    </border>
    <border>
      <left style="thin">
        <color theme="1"/>
      </left>
      <right style="double">
        <color theme="1"/>
      </right>
      <top style="double">
        <color theme="1"/>
      </top>
      <bottom style="double">
        <color theme="1"/>
      </bottom>
      <diagonal/>
    </border>
    <border>
      <left style="thin">
        <color theme="1"/>
      </left>
      <right style="thin">
        <color theme="1"/>
      </right>
      <top style="thin">
        <color theme="1"/>
      </top>
      <bottom style="double">
        <color theme="1"/>
      </bottom>
      <diagonal/>
    </border>
    <border>
      <left style="thin">
        <color theme="1"/>
      </left>
      <right style="thin">
        <color theme="1"/>
      </right>
      <top style="double">
        <color theme="1"/>
      </top>
      <bottom style="double">
        <color theme="1"/>
      </bottom>
      <diagonal/>
    </border>
    <border>
      <left style="double">
        <color theme="1"/>
      </left>
      <right style="thin">
        <color theme="1"/>
      </right>
      <top style="thin">
        <color theme="1"/>
      </top>
      <bottom style="double">
        <color theme="1"/>
      </bottom>
      <diagonal/>
    </border>
    <border>
      <left style="double">
        <color theme="1"/>
      </left>
      <right style="thin">
        <color theme="1"/>
      </right>
      <top style="double">
        <color theme="1"/>
      </top>
      <bottom style="double">
        <color theme="1"/>
      </bottom>
      <diagonal/>
    </border>
    <border>
      <left/>
      <right style="double">
        <color theme="1"/>
      </right>
      <top style="double">
        <color theme="1"/>
      </top>
      <bottom style="double">
        <color theme="1"/>
      </bottom>
      <diagonal/>
    </border>
    <border>
      <left/>
      <right style="thin">
        <color theme="1"/>
      </right>
      <top style="thin">
        <color theme="1"/>
      </top>
      <bottom style="double">
        <color theme="1"/>
      </bottom>
      <diagonal/>
    </border>
    <border>
      <left/>
      <right style="thin">
        <color theme="1"/>
      </right>
      <top style="double">
        <color theme="1"/>
      </top>
      <bottom style="double">
        <color theme="1"/>
      </bottom>
      <diagonal/>
    </border>
    <border>
      <left style="double">
        <color theme="1"/>
      </left>
      <right style="double">
        <color theme="0" tint="-0.249977111117893"/>
      </right>
      <top/>
      <bottom style="double">
        <color theme="1"/>
      </bottom>
      <diagonal/>
    </border>
    <border>
      <left style="double">
        <color theme="1"/>
      </left>
      <right style="thin">
        <color theme="0" tint="-0.499984740745262"/>
      </right>
      <top/>
      <bottom style="double">
        <color theme="1"/>
      </bottom>
      <diagonal/>
    </border>
    <border>
      <left/>
      <right style="thin">
        <color theme="0" tint="-0.499984740745262"/>
      </right>
      <top/>
      <bottom style="double">
        <color theme="1"/>
      </bottom>
      <diagonal/>
    </border>
    <border>
      <left style="double">
        <color theme="1"/>
      </left>
      <right style="double">
        <color theme="1"/>
      </right>
      <top/>
      <bottom style="thin">
        <color theme="0" tint="-0.249977111117893"/>
      </bottom>
      <diagonal/>
    </border>
    <border>
      <left style="double">
        <color theme="1"/>
      </left>
      <right style="double">
        <color theme="0" tint="-0.249977111117893"/>
      </right>
      <top style="double">
        <color theme="1"/>
      </top>
      <bottom style="thin">
        <color theme="0" tint="-0.249977111117893"/>
      </bottom>
      <diagonal/>
    </border>
    <border>
      <left/>
      <right/>
      <top style="double">
        <color theme="1"/>
      </top>
      <bottom style="thin">
        <color theme="0" tint="-0.249977111117893"/>
      </bottom>
      <diagonal/>
    </border>
    <border>
      <left/>
      <right style="double">
        <color theme="1"/>
      </right>
      <top style="double">
        <color theme="1"/>
      </top>
      <bottom style="thin">
        <color theme="0" tint="-0.249977111117893"/>
      </bottom>
      <diagonal/>
    </border>
    <border>
      <left style="double">
        <color theme="1"/>
      </left>
      <right style="double">
        <color theme="1"/>
      </right>
      <top style="double">
        <color theme="1"/>
      </top>
      <bottom style="thin">
        <color theme="0" tint="-0.249977111117893"/>
      </bottom>
      <diagonal/>
    </border>
    <border>
      <left style="double">
        <color theme="1"/>
      </left>
      <right style="thin">
        <color theme="0" tint="-0.499984740745262"/>
      </right>
      <top style="double">
        <color theme="1"/>
      </top>
      <bottom style="thin">
        <color theme="0" tint="-0.249977111117893"/>
      </bottom>
      <diagonal/>
    </border>
    <border>
      <left/>
      <right style="thin">
        <color theme="0" tint="-0.499984740745262"/>
      </right>
      <top style="double">
        <color theme="1"/>
      </top>
      <bottom style="thin">
        <color theme="0" tint="-0.249977111117893"/>
      </bottom>
      <diagonal/>
    </border>
    <border>
      <left/>
      <right style="double">
        <color theme="1"/>
      </right>
      <top/>
      <bottom style="thin">
        <color theme="0" tint="-0.249977111117893"/>
      </bottom>
      <diagonal/>
    </border>
    <border>
      <left style="double">
        <color theme="1"/>
      </left>
      <right style="double">
        <color theme="0" tint="-0.249977111117893"/>
      </right>
      <top/>
      <bottom style="thin">
        <color theme="0" tint="-0.249977111117893"/>
      </bottom>
      <diagonal/>
    </border>
    <border>
      <left/>
      <right/>
      <top/>
      <bottom style="thin">
        <color theme="0" tint="-0.249977111117893"/>
      </bottom>
      <diagonal/>
    </border>
    <border>
      <left style="double">
        <color theme="1"/>
      </left>
      <right style="thin">
        <color theme="0" tint="-0.499984740745262"/>
      </right>
      <top/>
      <bottom style="thin">
        <color theme="0" tint="-0.249977111117893"/>
      </bottom>
      <diagonal/>
    </border>
    <border>
      <left/>
      <right style="thin">
        <color theme="0" tint="-0.499984740745262"/>
      </right>
      <top/>
      <bottom style="thin">
        <color theme="0" tint="-0.249977111117893"/>
      </bottom>
      <diagonal/>
    </border>
    <border>
      <left style="double">
        <color theme="1"/>
      </left>
      <right style="double">
        <color theme="1"/>
      </right>
      <top style="thin">
        <color theme="0" tint="-0.249977111117893"/>
      </top>
      <bottom style="thin">
        <color theme="0" tint="-0.249977111117893"/>
      </bottom>
      <diagonal/>
    </border>
    <border>
      <left style="double">
        <color theme="1"/>
      </left>
      <right style="double">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double">
        <color theme="1"/>
      </right>
      <top style="thin">
        <color theme="0" tint="-0.249977111117893"/>
      </top>
      <bottom style="thin">
        <color theme="0" tint="-0.249977111117893"/>
      </bottom>
      <diagonal/>
    </border>
    <border>
      <left style="double">
        <color theme="1"/>
      </left>
      <right style="thin">
        <color theme="0" tint="-0.499984740745262"/>
      </right>
      <top style="thin">
        <color theme="0" tint="-0.249977111117893"/>
      </top>
      <bottom style="thin">
        <color theme="0" tint="-0.249977111117893"/>
      </bottom>
      <diagonal/>
    </border>
    <border>
      <left/>
      <right style="thin">
        <color theme="0" tint="-0.499984740745262"/>
      </right>
      <top style="thin">
        <color theme="0" tint="-0.249977111117893"/>
      </top>
      <bottom style="thin">
        <color theme="0" tint="-0.249977111117893"/>
      </bottom>
      <diagonal/>
    </border>
    <border>
      <left/>
      <right/>
      <top style="thin">
        <color indexed="64"/>
      </top>
      <bottom/>
      <diagonal/>
    </border>
    <border>
      <left/>
      <right/>
      <top/>
      <bottom style="thin">
        <color auto="1"/>
      </bottom>
      <diagonal/>
    </border>
    <border>
      <left/>
      <right/>
      <top style="thin">
        <color rgb="FF80808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thin">
        <color rgb="FF000000"/>
      </bottom>
      <diagonal/>
    </border>
    <border>
      <left/>
      <right style="double">
        <color rgb="FF000000"/>
      </right>
      <top/>
      <bottom style="thin">
        <color rgb="FF000000"/>
      </bottom>
      <diagonal/>
    </border>
    <border>
      <left/>
      <right/>
      <top/>
      <bottom style="medium">
        <color indexed="64"/>
      </bottom>
      <diagonal/>
    </border>
    <border>
      <left/>
      <right style="thin">
        <color indexed="8"/>
      </right>
      <top style="thin">
        <color indexed="8"/>
      </top>
      <bottom/>
      <diagonal/>
    </border>
    <border>
      <left/>
      <right style="thin">
        <color indexed="8"/>
      </right>
      <top/>
      <bottom/>
      <diagonal/>
    </border>
    <border>
      <left/>
      <right style="thin">
        <color indexed="8"/>
      </right>
      <top/>
      <bottom style="double">
        <color indexed="8"/>
      </bottom>
      <diagonal/>
    </border>
    <border>
      <left/>
      <right style="thin">
        <color indexed="8"/>
      </right>
      <top/>
      <bottom style="thin">
        <color indexed="8"/>
      </bottom>
      <diagonal/>
    </border>
    <border>
      <left style="double">
        <color indexed="8"/>
      </left>
      <right/>
      <top style="medium">
        <color indexed="8"/>
      </top>
      <bottom style="medium">
        <color indexed="8"/>
      </bottom>
      <diagonal/>
    </border>
    <border>
      <left/>
      <right/>
      <top style="medium">
        <color indexed="8"/>
      </top>
      <bottom style="medium">
        <color indexed="8"/>
      </bottom>
      <diagonal/>
    </border>
    <border>
      <left/>
      <right style="double">
        <color indexed="8"/>
      </right>
      <top style="medium">
        <color indexed="8"/>
      </top>
      <bottom style="medium">
        <color indexed="8"/>
      </bottom>
      <diagonal/>
    </border>
    <border>
      <left/>
      <right style="thin">
        <color indexed="8"/>
      </right>
      <top style="medium">
        <color indexed="8"/>
      </top>
      <bottom style="medium">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style="double">
        <color indexed="8"/>
      </right>
      <top style="double">
        <color indexed="8"/>
      </top>
      <bottom style="double">
        <color indexed="8"/>
      </bottom>
      <diagonal/>
    </border>
    <border>
      <left/>
      <right style="thin">
        <color indexed="8"/>
      </right>
      <top style="double">
        <color indexed="8"/>
      </top>
      <bottom style="double">
        <color indexed="8"/>
      </bottom>
      <diagonal/>
    </border>
    <border>
      <left/>
      <right/>
      <top style="thin">
        <color auto="1"/>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uble">
        <color rgb="FF00FF00"/>
      </left>
      <right/>
      <top/>
      <bottom/>
      <diagonal/>
    </border>
    <border>
      <left style="double">
        <color rgb="FF00FF00"/>
      </left>
      <right/>
      <top/>
      <bottom style="double">
        <color rgb="FF00FF00"/>
      </bottom>
      <diagonal/>
    </border>
    <border>
      <left/>
      <right/>
      <top/>
      <bottom style="double">
        <color rgb="FF00FF00"/>
      </bottom>
      <diagonal/>
    </border>
    <border>
      <left/>
      <right style="double">
        <color rgb="FF00FF00"/>
      </right>
      <top/>
      <bottom style="double">
        <color rgb="FF00FF00"/>
      </bottom>
      <diagonal/>
    </border>
    <border>
      <left/>
      <right style="double">
        <color rgb="FF00FF00"/>
      </right>
      <top/>
      <bottom/>
      <diagonal/>
    </border>
    <border>
      <left/>
      <right style="double">
        <color rgb="FF00FF00"/>
      </right>
      <top/>
      <bottom style="thin">
        <color rgb="FF00FF00"/>
      </bottom>
      <diagonal/>
    </border>
    <border>
      <left/>
      <right/>
      <top/>
      <bottom style="thin">
        <color rgb="FF00FF00"/>
      </bottom>
      <diagonal/>
    </border>
    <border>
      <left style="double">
        <color rgb="FF00FF00"/>
      </left>
      <right/>
      <top style="double">
        <color rgb="FF00FF00"/>
      </top>
      <bottom style="double">
        <color rgb="FF00FF00"/>
      </bottom>
      <diagonal/>
    </border>
    <border>
      <left/>
      <right/>
      <top style="double">
        <color rgb="FF00FF00"/>
      </top>
      <bottom style="double">
        <color rgb="FF00FF00"/>
      </bottom>
      <diagonal/>
    </border>
    <border>
      <left/>
      <right style="double">
        <color rgb="FF00FF00"/>
      </right>
      <top style="double">
        <color rgb="FF00FF00"/>
      </top>
      <bottom style="double">
        <color rgb="FF00FF00"/>
      </bottom>
      <diagonal/>
    </border>
    <border>
      <left/>
      <right style="double">
        <color rgb="FF00FF00"/>
      </right>
      <top style="thin">
        <color rgb="FF00FF00"/>
      </top>
      <bottom style="thin">
        <color rgb="FF00FF00"/>
      </bottom>
      <diagonal/>
    </border>
    <border>
      <left/>
      <right/>
      <top style="thin">
        <color rgb="FF00FF00"/>
      </top>
      <bottom style="thin">
        <color rgb="FF00FF00"/>
      </bottom>
      <diagonal/>
    </border>
    <border>
      <left style="thin">
        <color rgb="FFC0C0C0"/>
      </left>
      <right style="double">
        <color rgb="FF00FF00"/>
      </right>
      <top style="thin">
        <color rgb="FFC0C0C0"/>
      </top>
      <bottom style="thin">
        <color rgb="FFC0C0C0"/>
      </bottom>
      <diagonal/>
    </border>
    <border>
      <left style="thin">
        <color rgb="FFC0C0C0"/>
      </left>
      <right style="double">
        <color rgb="FF00FF00"/>
      </right>
      <top/>
      <bottom style="thin">
        <color rgb="FFC0C0C0"/>
      </bottom>
      <diagonal/>
    </border>
    <border>
      <left style="double">
        <color rgb="FF00FF00"/>
      </left>
      <right style="double">
        <color rgb="FF00FF00"/>
      </right>
      <top/>
      <bottom/>
      <diagonal/>
    </border>
    <border>
      <left/>
      <right style="thin">
        <color rgb="FF00FF00"/>
      </right>
      <top/>
      <bottom/>
      <diagonal/>
    </border>
    <border>
      <left style="double">
        <color rgb="FF00FF00"/>
      </left>
      <right/>
      <top style="thin">
        <color rgb="FF00FF00"/>
      </top>
      <bottom style="double">
        <color rgb="FF00FF00"/>
      </bottom>
      <diagonal/>
    </border>
    <border>
      <left/>
      <right/>
      <top style="thin">
        <color rgb="FF00FF00"/>
      </top>
      <bottom style="double">
        <color rgb="FF00FF00"/>
      </bottom>
      <diagonal/>
    </border>
    <border>
      <left/>
      <right style="double">
        <color rgb="FF00FF00"/>
      </right>
      <top style="thin">
        <color rgb="FF00FF00"/>
      </top>
      <bottom style="double">
        <color rgb="FF00FF00"/>
      </bottom>
      <diagonal/>
    </border>
    <border>
      <left style="double">
        <color rgb="FF00FF00"/>
      </left>
      <right style="double">
        <color rgb="FF00FF00"/>
      </right>
      <top style="thin">
        <color rgb="FF00FF00"/>
      </top>
      <bottom style="double">
        <color rgb="FF00FF00"/>
      </bottom>
      <diagonal/>
    </border>
    <border>
      <left style="double">
        <color rgb="FF00FF00"/>
      </left>
      <right/>
      <top style="double">
        <color rgb="FF00FF00"/>
      </top>
      <bottom/>
      <diagonal/>
    </border>
    <border>
      <left/>
      <right/>
      <top style="thin">
        <color rgb="FF00FF00"/>
      </top>
      <bottom/>
      <diagonal/>
    </border>
    <border>
      <left/>
      <right style="double">
        <color rgb="FF00FF00"/>
      </right>
      <top style="thin">
        <color rgb="FF00FF00"/>
      </top>
      <bottom/>
      <diagonal/>
    </border>
    <border>
      <left/>
      <right/>
      <top style="double">
        <color rgb="FF00FF00"/>
      </top>
      <bottom/>
      <diagonal/>
    </border>
    <border>
      <left style="double">
        <color rgb="FF00FF00"/>
      </left>
      <right style="double">
        <color rgb="FF00FF00"/>
      </right>
      <top/>
      <bottom style="thin">
        <color rgb="FF00FF00"/>
      </bottom>
      <diagonal/>
    </border>
    <border>
      <left style="double">
        <color rgb="FF00FF00"/>
      </left>
      <right style="double">
        <color rgb="FF00FF00"/>
      </right>
      <top style="double">
        <color rgb="FF00FF00"/>
      </top>
      <bottom style="double">
        <color rgb="FF00FF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xf numFmtId="9" fontId="4"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0" fontId="35" fillId="0" borderId="0"/>
    <xf numFmtId="0" fontId="3" fillId="0" borderId="0"/>
    <xf numFmtId="43" fontId="35" fillId="0" borderId="0" applyFont="0" applyFill="0" applyBorder="0" applyAlignment="0" applyProtection="0"/>
    <xf numFmtId="0" fontId="52" fillId="0" borderId="0"/>
    <xf numFmtId="0" fontId="2" fillId="0" borderId="0"/>
    <xf numFmtId="0" fontId="60" fillId="0" borderId="0"/>
    <xf numFmtId="0" fontId="2" fillId="0" borderId="0"/>
  </cellStyleXfs>
  <cellXfs count="944">
    <xf numFmtId="0" fontId="0" fillId="0" borderId="0" xfId="0"/>
    <xf numFmtId="5" fontId="10" fillId="0" borderId="0" xfId="0" applyNumberFormat="1" applyFont="1" applyAlignment="1">
      <alignment vertical="center"/>
    </xf>
    <xf numFmtId="0" fontId="10" fillId="0" borderId="17" xfId="0" applyFont="1" applyBorder="1" applyAlignment="1">
      <alignment horizontal="center" vertical="center"/>
    </xf>
    <xf numFmtId="6" fontId="10" fillId="3" borderId="18" xfId="0" applyNumberFormat="1" applyFont="1" applyFill="1" applyBorder="1" applyAlignment="1">
      <alignment vertical="center"/>
    </xf>
    <xf numFmtId="6" fontId="10" fillId="3" borderId="19" xfId="0" applyNumberFormat="1" applyFont="1" applyFill="1" applyBorder="1" applyAlignment="1">
      <alignment vertical="center"/>
    </xf>
    <xf numFmtId="0" fontId="10" fillId="2" borderId="17" xfId="0" quotePrefix="1" applyFont="1" applyFill="1" applyBorder="1" applyAlignment="1">
      <alignment horizontal="center" vertical="center"/>
    </xf>
    <xf numFmtId="6" fontId="10" fillId="2" borderId="17" xfId="0" applyNumberFormat="1" applyFont="1" applyFill="1" applyBorder="1" applyAlignment="1">
      <alignment vertical="center"/>
    </xf>
    <xf numFmtId="0" fontId="10" fillId="0" borderId="17" xfId="0" quotePrefix="1" applyFont="1" applyBorder="1" applyAlignment="1">
      <alignment horizontal="center" vertical="center"/>
    </xf>
    <xf numFmtId="6" fontId="10" fillId="4" borderId="24" xfId="0" applyNumberFormat="1" applyFont="1" applyFill="1" applyBorder="1" applyAlignment="1">
      <alignment vertical="center"/>
    </xf>
    <xf numFmtId="6" fontId="10" fillId="4" borderId="25" xfId="0" applyNumberFormat="1" applyFont="1" applyFill="1" applyBorder="1" applyAlignment="1">
      <alignment vertical="center"/>
    </xf>
    <xf numFmtId="0" fontId="10" fillId="3" borderId="29" xfId="0" applyFont="1" applyFill="1" applyBorder="1" applyAlignment="1">
      <alignment vertical="center"/>
    </xf>
    <xf numFmtId="0" fontId="10" fillId="3" borderId="34" xfId="0" applyFont="1" applyFill="1" applyBorder="1" applyAlignment="1">
      <alignment vertical="center"/>
    </xf>
    <xf numFmtId="37" fontId="10" fillId="3" borderId="26" xfId="0" applyNumberFormat="1" applyFont="1" applyFill="1" applyBorder="1" applyAlignment="1">
      <alignment vertical="center"/>
    </xf>
    <xf numFmtId="37" fontId="10" fillId="3" borderId="34" xfId="0" applyNumberFormat="1" applyFont="1" applyFill="1" applyBorder="1" applyAlignment="1">
      <alignment vertical="center"/>
    </xf>
    <xf numFmtId="6" fontId="10" fillId="3" borderId="32" xfId="0" applyNumberFormat="1" applyFont="1" applyFill="1" applyBorder="1" applyAlignment="1">
      <alignment vertical="center"/>
    </xf>
    <xf numFmtId="0" fontId="10" fillId="0" borderId="29" xfId="0" applyFont="1" applyBorder="1" applyAlignment="1">
      <alignment horizontal="center" vertical="center"/>
    </xf>
    <xf numFmtId="6" fontId="11" fillId="2" borderId="50" xfId="0" applyNumberFormat="1" applyFont="1" applyFill="1" applyBorder="1" applyAlignment="1">
      <alignment vertical="center"/>
    </xf>
    <xf numFmtId="0" fontId="10" fillId="3" borderId="18" xfId="0" applyFont="1" applyFill="1" applyBorder="1" applyAlignment="1">
      <alignment vertical="center"/>
    </xf>
    <xf numFmtId="0" fontId="10" fillId="3" borderId="18" xfId="0" quotePrefix="1" applyFont="1" applyFill="1" applyBorder="1" applyAlignment="1">
      <alignment horizontal="center" vertical="center"/>
    </xf>
    <xf numFmtId="37" fontId="10" fillId="3" borderId="44" xfId="0" applyNumberFormat="1" applyFont="1" applyFill="1" applyBorder="1" applyAlignment="1">
      <alignment vertical="center"/>
    </xf>
    <xf numFmtId="0" fontId="10" fillId="3" borderId="46" xfId="0" applyFont="1" applyFill="1" applyBorder="1" applyAlignment="1">
      <alignment vertical="center"/>
    </xf>
    <xf numFmtId="37" fontId="10" fillId="3" borderId="46" xfId="0" applyNumberFormat="1" applyFont="1" applyFill="1" applyBorder="1" applyAlignment="1">
      <alignment vertical="center"/>
    </xf>
    <xf numFmtId="0" fontId="10" fillId="3" borderId="17" xfId="0" applyFont="1" applyFill="1" applyBorder="1" applyAlignment="1">
      <alignment horizontal="center" vertical="center"/>
    </xf>
    <xf numFmtId="6" fontId="10" fillId="3" borderId="17" xfId="0" applyNumberFormat="1" applyFont="1" applyFill="1" applyBorder="1" applyAlignment="1">
      <alignment vertical="center"/>
    </xf>
    <xf numFmtId="5" fontId="10" fillId="3" borderId="20" xfId="0" applyNumberFormat="1" applyFont="1" applyFill="1" applyBorder="1" applyAlignment="1">
      <alignment vertical="center"/>
    </xf>
    <xf numFmtId="5" fontId="10" fillId="3" borderId="21" xfId="0" applyNumberFormat="1" applyFont="1" applyFill="1" applyBorder="1" applyAlignment="1">
      <alignment vertical="center"/>
    </xf>
    <xf numFmtId="6" fontId="10" fillId="3" borderId="21" xfId="0" applyNumberFormat="1" applyFont="1" applyFill="1" applyBorder="1" applyAlignment="1">
      <alignment vertical="center"/>
    </xf>
    <xf numFmtId="0" fontId="10" fillId="3" borderId="29" xfId="0" applyFont="1" applyFill="1" applyBorder="1" applyAlignment="1">
      <alignment horizontal="center" vertical="center"/>
    </xf>
    <xf numFmtId="6" fontId="10" fillId="3" borderId="30" xfId="0" applyNumberFormat="1" applyFont="1" applyFill="1" applyBorder="1" applyAlignment="1">
      <alignment vertical="center"/>
    </xf>
    <xf numFmtId="5" fontId="10" fillId="3" borderId="31" xfId="0" applyNumberFormat="1" applyFont="1" applyFill="1" applyBorder="1" applyAlignment="1">
      <alignment vertical="center"/>
    </xf>
    <xf numFmtId="5" fontId="10" fillId="3" borderId="30" xfId="0" applyNumberFormat="1" applyFont="1" applyFill="1" applyBorder="1" applyAlignment="1">
      <alignment vertical="center"/>
    </xf>
    <xf numFmtId="6" fontId="10" fillId="3" borderId="29" xfId="0" applyNumberFormat="1" applyFont="1" applyFill="1" applyBorder="1" applyAlignment="1">
      <alignment vertical="center"/>
    </xf>
    <xf numFmtId="0" fontId="10" fillId="2" borderId="48" xfId="0" quotePrefix="1" applyFont="1" applyFill="1" applyBorder="1" applyAlignment="1">
      <alignment horizontal="center" vertical="center"/>
    </xf>
    <xf numFmtId="6" fontId="10" fillId="4" borderId="49" xfId="0" applyNumberFormat="1" applyFont="1" applyFill="1" applyBorder="1" applyAlignment="1">
      <alignment vertical="center"/>
    </xf>
    <xf numFmtId="6" fontId="10" fillId="4" borderId="50" xfId="0" applyNumberFormat="1" applyFont="1" applyFill="1" applyBorder="1" applyAlignment="1">
      <alignment vertical="center"/>
    </xf>
    <xf numFmtId="6" fontId="11" fillId="6" borderId="85" xfId="0" applyNumberFormat="1" applyFont="1" applyFill="1" applyBorder="1" applyAlignment="1">
      <alignment vertical="center"/>
    </xf>
    <xf numFmtId="6" fontId="11" fillId="6" borderId="87" xfId="0" applyNumberFormat="1" applyFont="1" applyFill="1" applyBorder="1" applyAlignment="1">
      <alignment vertical="center"/>
    </xf>
    <xf numFmtId="0" fontId="11" fillId="2" borderId="109" xfId="0" applyFont="1" applyFill="1" applyBorder="1" applyAlignment="1">
      <alignment horizontal="center" vertical="center"/>
    </xf>
    <xf numFmtId="6" fontId="11" fillId="6" borderId="0" xfId="0" applyNumberFormat="1" applyFont="1" applyFill="1" applyAlignment="1">
      <alignment vertical="center"/>
    </xf>
    <xf numFmtId="0" fontId="10" fillId="0" borderId="5" xfId="0" applyFont="1" applyBorder="1" applyAlignment="1">
      <alignment vertical="center"/>
    </xf>
    <xf numFmtId="0" fontId="10" fillId="0" borderId="6" xfId="0" applyFont="1" applyBorder="1" applyAlignment="1">
      <alignment vertical="center"/>
    </xf>
    <xf numFmtId="0" fontId="10" fillId="3" borderId="18" xfId="0" applyFont="1" applyFill="1" applyBorder="1" applyAlignment="1">
      <alignment horizontal="left" vertical="center"/>
    </xf>
    <xf numFmtId="0" fontId="10" fillId="3" borderId="29" xfId="0" applyFont="1" applyFill="1" applyBorder="1" applyAlignment="1">
      <alignment horizontal="left" vertical="center"/>
    </xf>
    <xf numFmtId="0" fontId="10" fillId="6" borderId="17" xfId="0" applyFont="1" applyFill="1" applyBorder="1" applyAlignment="1">
      <alignment horizontal="center" vertical="center"/>
    </xf>
    <xf numFmtId="0" fontId="10" fillId="2" borderId="17" xfId="0" applyFont="1" applyFill="1" applyBorder="1" applyAlignment="1">
      <alignment horizontal="left" vertical="center"/>
    </xf>
    <xf numFmtId="0" fontId="10" fillId="3" borderId="70" xfId="0" applyFont="1" applyFill="1" applyBorder="1" applyAlignment="1">
      <alignment horizontal="left" vertical="center"/>
    </xf>
    <xf numFmtId="0" fontId="11" fillId="2" borderId="48" xfId="0" applyFont="1" applyFill="1" applyBorder="1" applyAlignment="1">
      <alignment horizontal="left" vertical="center"/>
    </xf>
    <xf numFmtId="0" fontId="6" fillId="0" borderId="0" xfId="0" quotePrefix="1" applyFont="1" applyAlignment="1">
      <alignment horizontal="center"/>
    </xf>
    <xf numFmtId="0" fontId="6" fillId="0" borderId="0" xfId="0" quotePrefix="1" applyFont="1" applyAlignment="1">
      <alignment horizontal="left"/>
    </xf>
    <xf numFmtId="0" fontId="7" fillId="0" borderId="0" xfId="0" applyFont="1" applyAlignment="1">
      <alignment horizontal="center" vertical="center"/>
    </xf>
    <xf numFmtId="0" fontId="6" fillId="0" borderId="0" xfId="0" applyFont="1" applyAlignment="1">
      <alignment horizontal="center"/>
    </xf>
    <xf numFmtId="0" fontId="10" fillId="3" borderId="6" xfId="0" applyFont="1" applyFill="1" applyBorder="1" applyAlignment="1">
      <alignment vertical="center"/>
    </xf>
    <xf numFmtId="0" fontId="10" fillId="3" borderId="41" xfId="0" applyFont="1" applyFill="1" applyBorder="1" applyAlignment="1">
      <alignment vertical="center"/>
    </xf>
    <xf numFmtId="0" fontId="11" fillId="0" borderId="6" xfId="0" applyFont="1" applyBorder="1" applyAlignment="1">
      <alignment vertical="center"/>
    </xf>
    <xf numFmtId="0" fontId="10" fillId="0" borderId="28" xfId="0" quotePrefix="1" applyFont="1" applyBorder="1" applyAlignment="1">
      <alignment horizontal="left" vertical="center"/>
    </xf>
    <xf numFmtId="0" fontId="10" fillId="0" borderId="28" xfId="0" applyFont="1" applyBorder="1" applyAlignment="1">
      <alignment vertical="center"/>
    </xf>
    <xf numFmtId="0" fontId="10" fillId="0" borderId="6" xfId="0" quotePrefix="1" applyFont="1" applyBorder="1" applyAlignment="1">
      <alignment horizontal="left" vertical="center"/>
    </xf>
    <xf numFmtId="5" fontId="10" fillId="0" borderId="62" xfId="0" applyNumberFormat="1" applyFont="1" applyBorder="1" applyAlignment="1">
      <alignment vertical="center"/>
    </xf>
    <xf numFmtId="0" fontId="10" fillId="2" borderId="6" xfId="0" applyFont="1" applyFill="1" applyBorder="1" applyAlignment="1">
      <alignment vertical="center"/>
    </xf>
    <xf numFmtId="0" fontId="10" fillId="2" borderId="6" xfId="0" applyFont="1" applyFill="1" applyBorder="1" applyAlignment="1">
      <alignment horizontal="left" vertical="center"/>
    </xf>
    <xf numFmtId="0" fontId="16" fillId="3" borderId="6" xfId="0" applyFont="1" applyFill="1" applyBorder="1" applyAlignment="1">
      <alignment vertical="center"/>
    </xf>
    <xf numFmtId="0" fontId="16" fillId="0" borderId="28" xfId="0" applyFont="1" applyBorder="1" applyAlignment="1">
      <alignment horizontal="left" vertical="center"/>
    </xf>
    <xf numFmtId="0" fontId="16" fillId="0" borderId="6" xfId="0" applyFont="1" applyBorder="1" applyAlignment="1">
      <alignment horizontal="left" vertical="center"/>
    </xf>
    <xf numFmtId="0" fontId="10" fillId="0" borderId="6" xfId="0" applyFont="1" applyBorder="1" applyAlignment="1">
      <alignment horizontal="left" vertical="center"/>
    </xf>
    <xf numFmtId="0" fontId="10" fillId="2" borderId="47" xfId="0" applyFont="1" applyFill="1" applyBorder="1" applyAlignment="1">
      <alignment vertical="center"/>
    </xf>
    <xf numFmtId="0" fontId="10" fillId="2" borderId="47" xfId="0" quotePrefix="1" applyFont="1" applyFill="1" applyBorder="1" applyAlignment="1">
      <alignment horizontal="left" vertical="center"/>
    </xf>
    <xf numFmtId="0" fontId="10" fillId="3" borderId="28" xfId="0" applyFont="1" applyFill="1" applyBorder="1" applyAlignment="1">
      <alignment vertical="center"/>
    </xf>
    <xf numFmtId="0" fontId="10" fillId="2" borderId="6" xfId="0" quotePrefix="1" applyFont="1" applyFill="1" applyBorder="1" applyAlignment="1">
      <alignment horizontal="left" vertical="center"/>
    </xf>
    <xf numFmtId="0" fontId="10" fillId="0" borderId="28" xfId="0" applyFont="1" applyBorder="1" applyAlignment="1">
      <alignment horizontal="left" vertical="center"/>
    </xf>
    <xf numFmtId="0" fontId="11" fillId="0" borderId="0" xfId="0" applyFont="1" applyAlignment="1">
      <alignment vertical="center"/>
    </xf>
    <xf numFmtId="0" fontId="12" fillId="0" borderId="0" xfId="0" applyFont="1" applyAlignment="1">
      <alignment horizontal="center" vertical="center"/>
    </xf>
    <xf numFmtId="0" fontId="15" fillId="0" borderId="0" xfId="0" applyFont="1" applyAlignment="1">
      <alignment horizontal="center" vertical="center"/>
    </xf>
    <xf numFmtId="0" fontId="10" fillId="0" borderId="0" xfId="0" applyFont="1" applyAlignment="1">
      <alignment vertical="center"/>
    </xf>
    <xf numFmtId="6" fontId="10" fillId="0" borderId="0" xfId="0" applyNumberFormat="1" applyFont="1" applyAlignment="1">
      <alignment vertical="center"/>
    </xf>
    <xf numFmtId="0" fontId="10" fillId="0" borderId="0" xfId="0" applyFont="1" applyAlignment="1">
      <alignment horizontal="left" vertical="center"/>
    </xf>
    <xf numFmtId="0" fontId="8" fillId="0" borderId="0" xfId="0" applyFont="1" applyAlignment="1">
      <alignment horizontal="right" vertical="center"/>
    </xf>
    <xf numFmtId="6" fontId="11" fillId="5" borderId="80" xfId="0" applyNumberFormat="1" applyFont="1" applyFill="1" applyBorder="1" applyAlignment="1">
      <alignment vertical="center"/>
    </xf>
    <xf numFmtId="0" fontId="11" fillId="7" borderId="106" xfId="0" applyFont="1" applyFill="1" applyBorder="1" applyAlignment="1">
      <alignment horizontal="center" vertical="center"/>
    </xf>
    <xf numFmtId="6" fontId="11" fillId="3" borderId="12" xfId="0" applyNumberFormat="1" applyFont="1" applyFill="1" applyBorder="1" applyAlignment="1">
      <alignment vertical="center"/>
    </xf>
    <xf numFmtId="9" fontId="11" fillId="7" borderId="107" xfId="0" applyNumberFormat="1" applyFont="1" applyFill="1" applyBorder="1" applyAlignment="1">
      <alignment horizontal="center" vertical="center"/>
    </xf>
    <xf numFmtId="6" fontId="11" fillId="5" borderId="83" xfId="0" applyNumberFormat="1" applyFont="1" applyFill="1" applyBorder="1" applyAlignment="1">
      <alignment vertical="center"/>
    </xf>
    <xf numFmtId="0" fontId="11" fillId="0" borderId="0" xfId="0" applyFont="1" applyAlignment="1">
      <alignment horizontal="center" vertical="center"/>
    </xf>
    <xf numFmtId="6" fontId="11" fillId="0" borderId="0" xfId="0" applyNumberFormat="1" applyFont="1" applyAlignment="1">
      <alignment vertical="center"/>
    </xf>
    <xf numFmtId="0" fontId="5" fillId="0" borderId="0" xfId="0" applyFont="1" applyAlignment="1">
      <alignment vertical="center"/>
    </xf>
    <xf numFmtId="0" fontId="9" fillId="0" borderId="0" xfId="0" applyFont="1" applyAlignment="1">
      <alignment horizontal="center" vertical="center"/>
    </xf>
    <xf numFmtId="0" fontId="5" fillId="0" borderId="0" xfId="0" applyFont="1" applyAlignment="1">
      <alignment horizontal="centerContinuous" vertical="center"/>
    </xf>
    <xf numFmtId="0" fontId="6" fillId="0" borderId="0" xfId="0" quotePrefix="1" applyFont="1" applyAlignment="1">
      <alignment horizontal="right"/>
    </xf>
    <xf numFmtId="0" fontId="6" fillId="0" borderId="0" xfId="0" applyFont="1" applyAlignment="1">
      <alignment horizontal="right"/>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10" fillId="3" borderId="18" xfId="0" applyFont="1" applyFill="1" applyBorder="1" applyAlignment="1">
      <alignment horizontal="center" vertical="center"/>
    </xf>
    <xf numFmtId="0" fontId="10" fillId="0" borderId="27" xfId="0" applyFont="1" applyBorder="1" applyAlignment="1">
      <alignment vertical="center"/>
    </xf>
    <xf numFmtId="0" fontId="10" fillId="2" borderId="5" xfId="0" applyFont="1" applyFill="1" applyBorder="1" applyAlignment="1">
      <alignment vertical="center"/>
    </xf>
    <xf numFmtId="0" fontId="10" fillId="0" borderId="35" xfId="0" applyFont="1" applyBorder="1" applyAlignment="1">
      <alignment vertical="center"/>
    </xf>
    <xf numFmtId="0" fontId="10" fillId="0" borderId="36" xfId="0" applyFont="1" applyBorder="1" applyAlignment="1">
      <alignment vertical="center"/>
    </xf>
    <xf numFmtId="0" fontId="10" fillId="0" borderId="37" xfId="0" applyFont="1" applyBorder="1" applyAlignment="1">
      <alignment horizontal="left" vertical="center"/>
    </xf>
    <xf numFmtId="0" fontId="10" fillId="6" borderId="27" xfId="0" applyFont="1" applyFill="1" applyBorder="1" applyAlignment="1">
      <alignment vertical="center"/>
    </xf>
    <xf numFmtId="0" fontId="10" fillId="6" borderId="28" xfId="0" applyFont="1" applyFill="1" applyBorder="1" applyAlignment="1">
      <alignment vertical="center"/>
    </xf>
    <xf numFmtId="0" fontId="14" fillId="0" borderId="6" xfId="0" applyFont="1" applyBorder="1" applyAlignment="1">
      <alignment vertical="center"/>
    </xf>
    <xf numFmtId="0" fontId="10" fillId="6" borderId="5" xfId="0" applyFont="1" applyFill="1" applyBorder="1" applyAlignment="1">
      <alignment vertical="center"/>
    </xf>
    <xf numFmtId="0" fontId="10" fillId="6" borderId="6" xfId="0" applyFont="1" applyFill="1" applyBorder="1" applyAlignment="1">
      <alignment vertical="center"/>
    </xf>
    <xf numFmtId="0" fontId="10" fillId="0" borderId="24" xfId="0" applyFont="1" applyBorder="1" applyAlignment="1">
      <alignment horizontal="center" vertical="center"/>
    </xf>
    <xf numFmtId="0" fontId="10" fillId="8" borderId="6" xfId="0" applyFont="1" applyFill="1" applyBorder="1" applyAlignment="1">
      <alignment vertical="center"/>
    </xf>
    <xf numFmtId="6" fontId="11" fillId="5" borderId="79" xfId="0" applyNumberFormat="1" applyFont="1" applyFill="1" applyBorder="1" applyAlignment="1">
      <alignment vertical="center"/>
    </xf>
    <xf numFmtId="6" fontId="11" fillId="5" borderId="81" xfId="0" applyNumberFormat="1" applyFont="1" applyFill="1" applyBorder="1" applyAlignment="1">
      <alignment vertical="center"/>
    </xf>
    <xf numFmtId="6" fontId="11" fillId="3" borderId="10" xfId="0" applyNumberFormat="1" applyFont="1" applyFill="1" applyBorder="1" applyAlignment="1">
      <alignment vertical="center"/>
    </xf>
    <xf numFmtId="6" fontId="11" fillId="3" borderId="11" xfId="0" applyNumberFormat="1" applyFont="1" applyFill="1" applyBorder="1" applyAlignment="1">
      <alignment vertical="center"/>
    </xf>
    <xf numFmtId="6" fontId="11" fillId="3" borderId="13" xfId="0" applyNumberFormat="1" applyFont="1" applyFill="1" applyBorder="1" applyAlignment="1">
      <alignment vertical="center"/>
    </xf>
    <xf numFmtId="6" fontId="11" fillId="5" borderId="82" xfId="0" applyNumberFormat="1" applyFont="1" applyFill="1" applyBorder="1" applyAlignment="1">
      <alignment vertical="center"/>
    </xf>
    <xf numFmtId="6" fontId="11" fillId="5" borderId="84" xfId="0" applyNumberFormat="1" applyFont="1" applyFill="1" applyBorder="1" applyAlignment="1">
      <alignment vertical="center"/>
    </xf>
    <xf numFmtId="6" fontId="11" fillId="3" borderId="14" xfId="0" applyNumberFormat="1" applyFont="1" applyFill="1" applyBorder="1" applyAlignment="1">
      <alignment vertical="center"/>
    </xf>
    <xf numFmtId="6" fontId="11" fillId="3" borderId="15" xfId="0" applyNumberFormat="1" applyFont="1" applyFill="1" applyBorder="1" applyAlignment="1">
      <alignment vertical="center"/>
    </xf>
    <xf numFmtId="6" fontId="11" fillId="0" borderId="0" xfId="0" quotePrefix="1" applyNumberFormat="1" applyFont="1" applyAlignment="1">
      <alignment horizontal="right" vertical="center"/>
    </xf>
    <xf numFmtId="0" fontId="0" fillId="0" borderId="0" xfId="0" applyAlignment="1">
      <alignment vertical="center" wrapText="1"/>
    </xf>
    <xf numFmtId="0" fontId="17" fillId="0" borderId="0" xfId="0" applyFont="1"/>
    <xf numFmtId="0" fontId="19" fillId="0" borderId="0" xfId="0" applyFont="1" applyAlignment="1">
      <alignment vertical="center"/>
    </xf>
    <xf numFmtId="0" fontId="19" fillId="0" borderId="0" xfId="0" applyFont="1" applyAlignment="1">
      <alignment vertical="center" wrapText="1"/>
    </xf>
    <xf numFmtId="0" fontId="19" fillId="9" borderId="0" xfId="0" applyFont="1" applyFill="1" applyAlignment="1">
      <alignment vertical="center"/>
    </xf>
    <xf numFmtId="0" fontId="19" fillId="13" borderId="0" xfId="0" applyFont="1" applyFill="1" applyAlignment="1">
      <alignment horizontal="left" vertical="center" wrapText="1"/>
    </xf>
    <xf numFmtId="0" fontId="23" fillId="0" borderId="0" xfId="0" applyFont="1" applyAlignment="1">
      <alignment horizontal="center" vertical="center" wrapText="1"/>
    </xf>
    <xf numFmtId="0" fontId="0" fillId="0" borderId="0" xfId="0" applyAlignment="1">
      <alignment horizontal="left" wrapText="1"/>
    </xf>
    <xf numFmtId="0" fontId="19" fillId="14" borderId="0" xfId="0" applyFont="1" applyFill="1" applyAlignment="1">
      <alignment vertical="center"/>
    </xf>
    <xf numFmtId="0" fontId="19" fillId="0" borderId="0" xfId="0" applyFont="1" applyAlignment="1">
      <alignment horizontal="left" vertical="center"/>
    </xf>
    <xf numFmtId="0" fontId="19" fillId="13" borderId="0" xfId="0" applyFont="1" applyFill="1" applyAlignment="1">
      <alignment vertical="center"/>
    </xf>
    <xf numFmtId="0" fontId="19" fillId="15" borderId="0" xfId="0" applyFont="1" applyFill="1" applyAlignment="1">
      <alignment vertical="center" wrapText="1"/>
    </xf>
    <xf numFmtId="0" fontId="19" fillId="12" borderId="0" xfId="0" applyFont="1" applyFill="1" applyAlignment="1">
      <alignment vertical="center" wrapText="1"/>
    </xf>
    <xf numFmtId="0" fontId="0" fillId="0" borderId="0" xfId="0" applyAlignment="1">
      <alignment horizontal="left"/>
    </xf>
    <xf numFmtId="0" fontId="5" fillId="0" borderId="0" xfId="0" applyFont="1"/>
    <xf numFmtId="164" fontId="10" fillId="2" borderId="17" xfId="1" applyNumberFormat="1" applyFont="1" applyFill="1" applyBorder="1" applyAlignment="1" applyProtection="1">
      <alignment horizontal="center" vertical="center"/>
    </xf>
    <xf numFmtId="0" fontId="11" fillId="2" borderId="47" xfId="0" applyFont="1" applyFill="1" applyBorder="1" applyAlignment="1">
      <alignment vertical="center"/>
    </xf>
    <xf numFmtId="0" fontId="11" fillId="2" borderId="47" xfId="0" applyFont="1" applyFill="1" applyBorder="1" applyAlignment="1">
      <alignment horizontal="left" vertical="center"/>
    </xf>
    <xf numFmtId="0" fontId="10" fillId="0" borderId="0" xfId="0" applyFont="1" applyAlignment="1">
      <alignment horizontal="center" vertical="center"/>
    </xf>
    <xf numFmtId="0" fontId="0" fillId="0" borderId="0" xfId="0" applyAlignment="1">
      <alignment vertical="center"/>
    </xf>
    <xf numFmtId="0" fontId="6" fillId="0" borderId="0" xfId="0" applyFont="1" applyAlignment="1">
      <alignment horizontal="center" vertical="center"/>
    </xf>
    <xf numFmtId="0" fontId="6" fillId="0" borderId="0" xfId="0" quotePrefix="1" applyFont="1" applyAlignment="1">
      <alignment horizontal="center" vertical="center"/>
    </xf>
    <xf numFmtId="0" fontId="6" fillId="9" borderId="0" xfId="0" quotePrefix="1" applyFont="1" applyFill="1" applyAlignment="1">
      <alignment horizontal="center" vertical="center"/>
    </xf>
    <xf numFmtId="0" fontId="18" fillId="9" borderId="110" xfId="0" quotePrefix="1" applyFont="1" applyFill="1" applyBorder="1" applyAlignment="1">
      <alignment horizontal="center" vertical="center"/>
    </xf>
    <xf numFmtId="14" fontId="18" fillId="9" borderId="110" xfId="0" quotePrefix="1" applyNumberFormat="1" applyFont="1" applyFill="1" applyBorder="1" applyAlignment="1">
      <alignment horizontal="center" vertical="center"/>
    </xf>
    <xf numFmtId="0" fontId="10" fillId="0" borderId="57" xfId="0" applyFont="1" applyBorder="1" applyAlignment="1">
      <alignment vertical="center"/>
    </xf>
    <xf numFmtId="37" fontId="10" fillId="0" borderId="62" xfId="0" applyNumberFormat="1" applyFont="1" applyBorder="1" applyAlignment="1">
      <alignment vertical="center"/>
    </xf>
    <xf numFmtId="0" fontId="10" fillId="0" borderId="63" xfId="0" applyFont="1" applyBorder="1" applyAlignment="1">
      <alignment vertical="center"/>
    </xf>
    <xf numFmtId="8" fontId="10" fillId="3" borderId="44" xfId="0" applyNumberFormat="1" applyFont="1" applyFill="1" applyBorder="1" applyAlignment="1">
      <alignment vertical="center"/>
    </xf>
    <xf numFmtId="6" fontId="10" fillId="3" borderId="45" xfId="0" applyNumberFormat="1" applyFont="1" applyFill="1" applyBorder="1" applyAlignment="1">
      <alignment vertical="center"/>
    </xf>
    <xf numFmtId="8" fontId="10" fillId="3" borderId="18" xfId="0" applyNumberFormat="1" applyFont="1" applyFill="1" applyBorder="1" applyAlignment="1">
      <alignment vertical="center"/>
    </xf>
    <xf numFmtId="8" fontId="10" fillId="3" borderId="18" xfId="0" applyNumberFormat="1" applyFont="1" applyFill="1" applyBorder="1" applyAlignment="1">
      <alignment horizontal="center" vertical="center"/>
    </xf>
    <xf numFmtId="164" fontId="10" fillId="3" borderId="32" xfId="1" applyNumberFormat="1" applyFont="1" applyFill="1" applyBorder="1" applyAlignment="1" applyProtection="1">
      <alignment horizontal="center" vertical="center"/>
    </xf>
    <xf numFmtId="6" fontId="10" fillId="6" borderId="21" xfId="0" applyNumberFormat="1" applyFont="1" applyFill="1" applyBorder="1" applyAlignment="1">
      <alignment vertical="center"/>
    </xf>
    <xf numFmtId="6" fontId="10" fillId="6" borderId="20" xfId="0" applyNumberFormat="1" applyFont="1" applyFill="1" applyBorder="1" applyAlignment="1">
      <alignment vertical="center"/>
    </xf>
    <xf numFmtId="6" fontId="10" fillId="2" borderId="20" xfId="0" applyNumberFormat="1" applyFont="1" applyFill="1" applyBorder="1" applyAlignment="1">
      <alignment vertical="center"/>
    </xf>
    <xf numFmtId="6" fontId="10" fillId="0" borderId="39" xfId="0" applyNumberFormat="1" applyFont="1" applyBorder="1" applyAlignment="1">
      <alignment vertical="center"/>
    </xf>
    <xf numFmtId="6" fontId="10" fillId="0" borderId="38" xfId="0" applyNumberFormat="1" applyFont="1" applyBorder="1" applyAlignment="1">
      <alignment vertical="center"/>
    </xf>
    <xf numFmtId="6" fontId="10" fillId="0" borderId="37" xfId="0" applyNumberFormat="1" applyFont="1" applyBorder="1" applyAlignment="1">
      <alignment vertical="center"/>
    </xf>
    <xf numFmtId="6" fontId="10" fillId="3" borderId="44" xfId="0" applyNumberFormat="1" applyFont="1" applyFill="1" applyBorder="1" applyAlignment="1">
      <alignment vertical="center"/>
    </xf>
    <xf numFmtId="6" fontId="10" fillId="3" borderId="46" xfId="0" applyNumberFormat="1" applyFont="1" applyFill="1" applyBorder="1" applyAlignment="1">
      <alignment vertical="center"/>
    </xf>
    <xf numFmtId="6" fontId="10" fillId="3" borderId="31" xfId="0" applyNumberFormat="1" applyFont="1" applyFill="1" applyBorder="1" applyAlignment="1">
      <alignment vertical="center"/>
    </xf>
    <xf numFmtId="6" fontId="10" fillId="3" borderId="62" xfId="0" applyNumberFormat="1" applyFont="1" applyFill="1" applyBorder="1" applyAlignment="1">
      <alignment vertical="center"/>
    </xf>
    <xf numFmtId="6" fontId="10" fillId="3" borderId="64" xfId="0" applyNumberFormat="1" applyFont="1" applyFill="1" applyBorder="1" applyAlignment="1">
      <alignment vertical="center"/>
    </xf>
    <xf numFmtId="164" fontId="10" fillId="3" borderId="18" xfId="1" applyNumberFormat="1" applyFont="1" applyFill="1" applyBorder="1" applyAlignment="1" applyProtection="1">
      <alignment horizontal="center" vertical="center"/>
    </xf>
    <xf numFmtId="6" fontId="10" fillId="3" borderId="39" xfId="0" applyNumberFormat="1" applyFont="1" applyFill="1" applyBorder="1" applyAlignment="1">
      <alignment vertical="center"/>
    </xf>
    <xf numFmtId="6" fontId="10" fillId="3" borderId="38" xfId="0" applyNumberFormat="1" applyFont="1" applyFill="1" applyBorder="1" applyAlignment="1">
      <alignment vertical="center"/>
    </xf>
    <xf numFmtId="6" fontId="10" fillId="3" borderId="20" xfId="0" applyNumberFormat="1" applyFont="1" applyFill="1" applyBorder="1" applyAlignment="1">
      <alignment vertical="center"/>
    </xf>
    <xf numFmtId="164" fontId="10" fillId="3" borderId="19" xfId="1" applyNumberFormat="1" applyFont="1" applyFill="1" applyBorder="1" applyAlignment="1" applyProtection="1">
      <alignment horizontal="center" vertical="center"/>
    </xf>
    <xf numFmtId="164" fontId="10" fillId="2" borderId="48" xfId="1" applyNumberFormat="1" applyFont="1" applyFill="1" applyBorder="1" applyAlignment="1" applyProtection="1">
      <alignment horizontal="center" vertical="center"/>
    </xf>
    <xf numFmtId="8" fontId="10" fillId="3" borderId="46" xfId="0" applyNumberFormat="1" applyFont="1" applyFill="1" applyBorder="1" applyAlignment="1">
      <alignment vertical="center"/>
    </xf>
    <xf numFmtId="8" fontId="10" fillId="3" borderId="31" xfId="0" applyNumberFormat="1" applyFont="1" applyFill="1" applyBorder="1" applyAlignment="1">
      <alignment vertical="center"/>
    </xf>
    <xf numFmtId="8" fontId="10" fillId="3" borderId="45" xfId="0" applyNumberFormat="1" applyFont="1" applyFill="1" applyBorder="1" applyAlignment="1">
      <alignment vertical="center"/>
    </xf>
    <xf numFmtId="8" fontId="10" fillId="3" borderId="32" xfId="0" applyNumberFormat="1" applyFont="1" applyFill="1" applyBorder="1" applyAlignment="1">
      <alignment vertical="center"/>
    </xf>
    <xf numFmtId="6" fontId="10" fillId="3" borderId="22" xfId="0" applyNumberFormat="1" applyFont="1" applyFill="1" applyBorder="1" applyAlignment="1">
      <alignment vertical="center"/>
    </xf>
    <xf numFmtId="6" fontId="10" fillId="3" borderId="23" xfId="0" applyNumberFormat="1" applyFont="1" applyFill="1" applyBorder="1" applyAlignment="1">
      <alignment vertical="center"/>
    </xf>
    <xf numFmtId="6" fontId="10" fillId="3" borderId="72" xfId="0" applyNumberFormat="1" applyFont="1" applyFill="1" applyBorder="1" applyAlignment="1">
      <alignment vertical="center"/>
    </xf>
    <xf numFmtId="6" fontId="10" fillId="3" borderId="71" xfId="0" applyNumberFormat="1" applyFont="1" applyFill="1" applyBorder="1" applyAlignment="1">
      <alignment vertical="center"/>
    </xf>
    <xf numFmtId="6" fontId="10" fillId="3" borderId="70" xfId="0" applyNumberFormat="1" applyFont="1" applyFill="1" applyBorder="1" applyAlignment="1">
      <alignment vertical="center"/>
    </xf>
    <xf numFmtId="164" fontId="10" fillId="3" borderId="70" xfId="1" applyNumberFormat="1" applyFont="1" applyFill="1" applyBorder="1" applyAlignment="1" applyProtection="1">
      <alignment horizontal="center" vertical="center"/>
    </xf>
    <xf numFmtId="6" fontId="11" fillId="2" borderId="56" xfId="0" applyNumberFormat="1" applyFont="1" applyFill="1" applyBorder="1" applyAlignment="1">
      <alignment vertical="center"/>
    </xf>
    <xf numFmtId="5" fontId="10" fillId="0" borderId="76" xfId="0" applyNumberFormat="1" applyFont="1" applyBorder="1" applyAlignment="1">
      <alignment vertical="center"/>
    </xf>
    <xf numFmtId="6" fontId="10" fillId="0" borderId="75" xfId="0" applyNumberFormat="1" applyFont="1" applyBorder="1" applyAlignment="1">
      <alignment vertical="center"/>
    </xf>
    <xf numFmtId="0" fontId="10" fillId="0" borderId="57" xfId="0" applyFont="1" applyBorder="1" applyAlignment="1">
      <alignment horizontal="center" vertical="center"/>
    </xf>
    <xf numFmtId="164" fontId="10" fillId="0" borderId="57" xfId="1" applyNumberFormat="1" applyFont="1" applyFill="1" applyBorder="1" applyAlignment="1" applyProtection="1">
      <alignment horizontal="center" vertical="center"/>
    </xf>
    <xf numFmtId="164" fontId="10" fillId="3" borderId="17" xfId="1" applyNumberFormat="1" applyFont="1" applyFill="1" applyBorder="1" applyAlignment="1" applyProtection="1">
      <alignment horizontal="center" vertical="center"/>
    </xf>
    <xf numFmtId="164" fontId="10" fillId="3" borderId="29" xfId="1" applyNumberFormat="1" applyFont="1" applyFill="1" applyBorder="1" applyAlignment="1" applyProtection="1">
      <alignment horizontal="center" vertical="center"/>
    </xf>
    <xf numFmtId="0" fontId="7" fillId="0" borderId="0" xfId="0" applyFont="1" applyAlignment="1">
      <alignment vertical="center" wrapText="1"/>
    </xf>
    <xf numFmtId="0" fontId="9" fillId="0" borderId="112" xfId="0" applyFont="1" applyBorder="1" applyAlignment="1">
      <alignment horizontal="center" vertical="center"/>
    </xf>
    <xf numFmtId="0" fontId="9" fillId="0" borderId="115" xfId="0" applyFont="1" applyBorder="1" applyAlignment="1">
      <alignment horizontal="center" vertical="center"/>
    </xf>
    <xf numFmtId="0" fontId="9" fillId="0" borderId="126" xfId="0" applyFont="1" applyBorder="1" applyAlignment="1">
      <alignment horizontal="center" vertical="center"/>
    </xf>
    <xf numFmtId="0" fontId="4" fillId="0" borderId="127" xfId="0" applyFont="1" applyBorder="1" applyAlignment="1">
      <alignment vertical="center"/>
    </xf>
    <xf numFmtId="0" fontId="4" fillId="0" borderId="128" xfId="0" applyFont="1" applyBorder="1" applyAlignment="1">
      <alignment vertical="center"/>
    </xf>
    <xf numFmtId="0" fontId="4" fillId="0" borderId="130" xfId="0" applyFont="1" applyBorder="1" applyAlignment="1">
      <alignment horizontal="left" vertical="center"/>
    </xf>
    <xf numFmtId="164" fontId="4" fillId="0" borderId="130" xfId="1" applyNumberFormat="1" applyFont="1" applyFill="1" applyBorder="1" applyAlignment="1" applyProtection="1">
      <alignment horizontal="center" vertical="center"/>
    </xf>
    <xf numFmtId="0" fontId="7" fillId="2" borderId="127" xfId="0" applyFont="1" applyFill="1" applyBorder="1" applyAlignment="1">
      <alignment vertical="center"/>
    </xf>
    <xf numFmtId="0" fontId="7" fillId="2" borderId="128" xfId="0" applyFont="1" applyFill="1" applyBorder="1" applyAlignment="1">
      <alignment vertical="center"/>
    </xf>
    <xf numFmtId="0" fontId="7" fillId="2" borderId="130" xfId="0" applyFont="1" applyFill="1" applyBorder="1" applyAlignment="1">
      <alignment horizontal="left" vertical="center"/>
    </xf>
    <xf numFmtId="6" fontId="7" fillId="2" borderId="127" xfId="0" applyNumberFormat="1" applyFont="1" applyFill="1" applyBorder="1" applyAlignment="1">
      <alignment vertical="center"/>
    </xf>
    <xf numFmtId="6" fontId="7" fillId="2" borderId="128" xfId="0" applyNumberFormat="1" applyFont="1" applyFill="1" applyBorder="1" applyAlignment="1">
      <alignment vertical="center"/>
    </xf>
    <xf numFmtId="164" fontId="4" fillId="2" borderId="130" xfId="1" applyNumberFormat="1" applyFont="1" applyFill="1" applyBorder="1" applyAlignment="1" applyProtection="1">
      <alignment horizontal="center" vertical="center"/>
    </xf>
    <xf numFmtId="0" fontId="4" fillId="2" borderId="127" xfId="0" applyFont="1" applyFill="1" applyBorder="1" applyAlignment="1">
      <alignment vertical="center"/>
    </xf>
    <xf numFmtId="0" fontId="4" fillId="2" borderId="128" xfId="0" quotePrefix="1" applyFont="1" applyFill="1" applyBorder="1" applyAlignment="1">
      <alignment horizontal="left" vertical="center"/>
    </xf>
    <xf numFmtId="0" fontId="4" fillId="2" borderId="130" xfId="0" quotePrefix="1" applyFont="1" applyFill="1" applyBorder="1" applyAlignment="1">
      <alignment horizontal="center" vertical="center"/>
    </xf>
    <xf numFmtId="6" fontId="4" fillId="4" borderId="127" xfId="0" applyNumberFormat="1" applyFont="1" applyFill="1" applyBorder="1" applyAlignment="1">
      <alignment vertical="center"/>
    </xf>
    <xf numFmtId="6" fontId="4" fillId="4" borderId="128" xfId="0" applyNumberFormat="1" applyFont="1" applyFill="1" applyBorder="1" applyAlignment="1">
      <alignment vertical="center"/>
    </xf>
    <xf numFmtId="0" fontId="7" fillId="2" borderId="128" xfId="0" applyFont="1" applyFill="1" applyBorder="1" applyAlignment="1">
      <alignment horizontal="left" vertical="center"/>
    </xf>
    <xf numFmtId="0" fontId="7" fillId="2" borderId="130" xfId="0" applyFont="1" applyFill="1" applyBorder="1" applyAlignment="1">
      <alignment horizontal="center" vertical="center"/>
    </xf>
    <xf numFmtId="6" fontId="11" fillId="5" borderId="112" xfId="0" applyNumberFormat="1" applyFont="1" applyFill="1" applyBorder="1" applyAlignment="1">
      <alignment vertical="center"/>
    </xf>
    <xf numFmtId="6" fontId="11" fillId="5" borderId="113" xfId="0" applyNumberFormat="1" applyFont="1" applyFill="1" applyBorder="1" applyAlignment="1">
      <alignment vertical="center"/>
    </xf>
    <xf numFmtId="6" fontId="11" fillId="5" borderId="114" xfId="0" applyNumberFormat="1" applyFont="1" applyFill="1" applyBorder="1" applyAlignment="1">
      <alignment vertical="center"/>
    </xf>
    <xf numFmtId="6" fontId="11" fillId="6" borderId="115" xfId="0" applyNumberFormat="1" applyFont="1" applyFill="1" applyBorder="1" applyAlignment="1">
      <alignment vertical="center"/>
    </xf>
    <xf numFmtId="6" fontId="11" fillId="3" borderId="116" xfId="0" applyNumberFormat="1" applyFont="1" applyFill="1" applyBorder="1" applyAlignment="1">
      <alignment vertical="center"/>
    </xf>
    <xf numFmtId="6" fontId="11" fillId="5" borderId="126" xfId="0" applyNumberFormat="1" applyFont="1" applyFill="1" applyBorder="1" applyAlignment="1">
      <alignment vertical="center"/>
    </xf>
    <xf numFmtId="6" fontId="11" fillId="5" borderId="127" xfId="0" applyNumberFormat="1" applyFont="1" applyFill="1" applyBorder="1" applyAlignment="1">
      <alignment vertical="center"/>
    </xf>
    <xf numFmtId="6" fontId="11" fillId="5" borderId="128" xfId="0" applyNumberFormat="1" applyFont="1" applyFill="1" applyBorder="1" applyAlignment="1">
      <alignment vertical="center"/>
    </xf>
    <xf numFmtId="0" fontId="11" fillId="7" borderId="129" xfId="0" applyFont="1" applyFill="1" applyBorder="1" applyAlignment="1">
      <alignment horizontal="center" vertical="center"/>
    </xf>
    <xf numFmtId="9" fontId="11" fillId="7" borderId="130" xfId="0" applyNumberFormat="1" applyFont="1" applyFill="1" applyBorder="1" applyAlignment="1">
      <alignment horizontal="center" vertical="center"/>
    </xf>
    <xf numFmtId="0" fontId="10" fillId="0" borderId="112" xfId="0" applyFont="1" applyBorder="1" applyAlignment="1">
      <alignment horizontal="left" vertical="center"/>
    </xf>
    <xf numFmtId="0" fontId="11" fillId="0" borderId="114" xfId="0" applyFont="1" applyBorder="1" applyAlignment="1">
      <alignment horizontal="right" vertical="center"/>
    </xf>
    <xf numFmtId="0" fontId="10" fillId="0" borderId="115" xfId="0" applyFont="1" applyBorder="1" applyAlignment="1">
      <alignment horizontal="left" vertical="center"/>
    </xf>
    <xf numFmtId="0" fontId="11" fillId="0" borderId="116" xfId="0" applyFont="1" applyBorder="1" applyAlignment="1">
      <alignment horizontal="right" vertical="center"/>
    </xf>
    <xf numFmtId="0" fontId="10" fillId="0" borderId="126" xfId="0" applyFont="1" applyBorder="1" applyAlignment="1">
      <alignment horizontal="left" vertical="center"/>
    </xf>
    <xf numFmtId="0" fontId="11" fillId="0" borderId="128" xfId="0" applyFont="1" applyBorder="1" applyAlignment="1">
      <alignment horizontal="right" vertical="center"/>
    </xf>
    <xf numFmtId="0" fontId="4" fillId="0" borderId="148" xfId="0" applyFont="1" applyBorder="1" applyAlignment="1">
      <alignment horizontal="center" vertical="center"/>
    </xf>
    <xf numFmtId="0" fontId="4" fillId="2" borderId="148" xfId="0" applyFont="1" applyFill="1" applyBorder="1" applyAlignment="1">
      <alignment horizontal="center" vertical="center"/>
    </xf>
    <xf numFmtId="0" fontId="4" fillId="9" borderId="148" xfId="0" applyFont="1" applyFill="1" applyBorder="1" applyAlignment="1">
      <alignment horizontal="center" vertical="center"/>
    </xf>
    <xf numFmtId="0" fontId="4" fillId="0" borderId="149" xfId="0" applyFont="1" applyBorder="1" applyAlignment="1">
      <alignment vertical="center"/>
    </xf>
    <xf numFmtId="6" fontId="7" fillId="2" borderId="149" xfId="0" applyNumberFormat="1" applyFont="1" applyFill="1" applyBorder="1" applyAlignment="1">
      <alignment vertical="center"/>
    </xf>
    <xf numFmtId="6" fontId="4" fillId="4" borderId="149" xfId="0" applyNumberFormat="1" applyFont="1" applyFill="1" applyBorder="1" applyAlignment="1">
      <alignment vertical="center"/>
    </xf>
    <xf numFmtId="0" fontId="4" fillId="0" borderId="150" xfId="0" applyFont="1" applyBorder="1" applyAlignment="1">
      <alignment vertical="center"/>
    </xf>
    <xf numFmtId="6" fontId="7" fillId="2" borderId="150" xfId="0" applyNumberFormat="1" applyFont="1" applyFill="1" applyBorder="1" applyAlignment="1">
      <alignment vertical="center"/>
    </xf>
    <xf numFmtId="6" fontId="4" fillId="4" borderId="150" xfId="0" applyNumberFormat="1" applyFont="1" applyFill="1" applyBorder="1" applyAlignment="1">
      <alignment vertical="center"/>
    </xf>
    <xf numFmtId="0" fontId="4" fillId="0" borderId="152" xfId="0" applyFont="1" applyBorder="1" applyAlignment="1">
      <alignment horizontal="center" vertical="center"/>
    </xf>
    <xf numFmtId="0" fontId="4" fillId="0" borderId="155" xfId="0" applyFont="1" applyBorder="1" applyAlignment="1">
      <alignment vertical="center"/>
    </xf>
    <xf numFmtId="37" fontId="4" fillId="0" borderId="156" xfId="0" applyNumberFormat="1" applyFont="1" applyBorder="1" applyAlignment="1">
      <alignment vertical="center"/>
    </xf>
    <xf numFmtId="37" fontId="4" fillId="0" borderId="157" xfId="0" applyNumberFormat="1" applyFont="1" applyBorder="1" applyAlignment="1">
      <alignment vertical="center"/>
    </xf>
    <xf numFmtId="0" fontId="4" fillId="0" borderId="158" xfId="0" applyFont="1" applyBorder="1" applyAlignment="1">
      <alignment vertical="center"/>
    </xf>
    <xf numFmtId="37" fontId="4" fillId="0" borderId="158" xfId="0" applyNumberFormat="1" applyFont="1" applyBorder="1" applyAlignment="1">
      <alignment vertical="center"/>
    </xf>
    <xf numFmtId="0" fontId="4" fillId="0" borderId="154" xfId="0" applyFont="1" applyBorder="1" applyAlignment="1">
      <alignment vertical="center"/>
    </xf>
    <xf numFmtId="0" fontId="4" fillId="3" borderId="159" xfId="0" applyFont="1" applyFill="1" applyBorder="1" applyAlignment="1">
      <alignment horizontal="center" vertical="center"/>
    </xf>
    <xf numFmtId="0" fontId="4" fillId="3" borderId="160" xfId="0" applyFont="1" applyFill="1" applyBorder="1" applyAlignment="1">
      <alignment vertical="center"/>
    </xf>
    <xf numFmtId="0" fontId="4" fillId="3" borderId="158" xfId="0" applyFont="1" applyFill="1" applyBorder="1" applyAlignment="1">
      <alignment vertical="center"/>
    </xf>
    <xf numFmtId="0" fontId="4" fillId="3" borderId="151" xfId="0" applyFont="1" applyFill="1" applyBorder="1" applyAlignment="1">
      <alignment horizontal="center" vertical="center"/>
    </xf>
    <xf numFmtId="8" fontId="4" fillId="3" borderId="161" xfId="0" applyNumberFormat="1" applyFont="1" applyFill="1" applyBorder="1" applyAlignment="1">
      <alignment vertical="center"/>
    </xf>
    <xf numFmtId="8" fontId="4" fillId="3" borderId="162" xfId="0" applyNumberFormat="1" applyFont="1" applyFill="1" applyBorder="1" applyAlignment="1">
      <alignment vertical="center"/>
    </xf>
    <xf numFmtId="6" fontId="4" fillId="3" borderId="158" xfId="0" applyNumberFormat="1" applyFont="1" applyFill="1" applyBorder="1" applyAlignment="1">
      <alignment vertical="center"/>
    </xf>
    <xf numFmtId="8" fontId="4" fillId="3" borderId="158" xfId="0" applyNumberFormat="1" applyFont="1" applyFill="1" applyBorder="1" applyAlignment="1">
      <alignment vertical="center"/>
    </xf>
    <xf numFmtId="8" fontId="4" fillId="3" borderId="151" xfId="0" applyNumberFormat="1" applyFont="1" applyFill="1" applyBorder="1" applyAlignment="1">
      <alignment horizontal="center" vertical="center"/>
    </xf>
    <xf numFmtId="0" fontId="4" fillId="0" borderId="159" xfId="0" applyFont="1" applyBorder="1" applyAlignment="1">
      <alignment horizontal="center" vertical="center"/>
    </xf>
    <xf numFmtId="0" fontId="4" fillId="0" borderId="160" xfId="0" applyFont="1" applyBorder="1" applyAlignment="1">
      <alignment vertical="center"/>
    </xf>
    <xf numFmtId="0" fontId="4" fillId="0" borderId="151" xfId="0" applyFont="1" applyBorder="1" applyAlignment="1">
      <alignment horizontal="center" vertical="center"/>
    </xf>
    <xf numFmtId="6" fontId="4" fillId="0" borderId="161" xfId="0" applyNumberFormat="1" applyFont="1" applyBorder="1" applyAlignment="1">
      <alignment vertical="center"/>
    </xf>
    <xf numFmtId="6" fontId="4" fillId="0" borderId="162" xfId="0" applyNumberFormat="1" applyFont="1" applyBorder="1" applyAlignment="1">
      <alignment vertical="center"/>
    </xf>
    <xf numFmtId="6" fontId="4" fillId="0" borderId="158" xfId="0" applyNumberFormat="1" applyFont="1" applyBorder="1" applyAlignment="1">
      <alignment vertical="center"/>
    </xf>
    <xf numFmtId="6" fontId="4" fillId="3" borderId="161" xfId="0" applyNumberFormat="1" applyFont="1" applyFill="1" applyBorder="1" applyAlignment="1">
      <alignment vertical="center"/>
    </xf>
    <xf numFmtId="6" fontId="4" fillId="3" borderId="162" xfId="0" applyNumberFormat="1" applyFont="1" applyFill="1" applyBorder="1" applyAlignment="1">
      <alignment vertical="center"/>
    </xf>
    <xf numFmtId="164" fontId="4" fillId="3" borderId="151" xfId="1" applyNumberFormat="1" applyFont="1" applyFill="1" applyBorder="1" applyAlignment="1" applyProtection="1">
      <alignment horizontal="center" vertical="center"/>
    </xf>
    <xf numFmtId="9" fontId="4" fillId="3" borderId="151" xfId="1" applyFont="1" applyFill="1" applyBorder="1" applyAlignment="1" applyProtection="1">
      <alignment horizontal="center" vertical="center"/>
    </xf>
    <xf numFmtId="6" fontId="4" fillId="6" borderId="161" xfId="0" applyNumberFormat="1" applyFont="1" applyFill="1" applyBorder="1" applyAlignment="1">
      <alignment vertical="center"/>
    </xf>
    <xf numFmtId="6" fontId="4" fillId="6" borderId="162" xfId="0" applyNumberFormat="1" applyFont="1" applyFill="1" applyBorder="1" applyAlignment="1">
      <alignment vertical="center"/>
    </xf>
    <xf numFmtId="6" fontId="4" fillId="6" borderId="158" xfId="0" applyNumberFormat="1" applyFont="1" applyFill="1" applyBorder="1" applyAlignment="1">
      <alignment vertical="center"/>
    </xf>
    <xf numFmtId="0" fontId="4" fillId="2" borderId="159" xfId="0" applyFont="1" applyFill="1" applyBorder="1" applyAlignment="1">
      <alignment horizontal="center" vertical="center"/>
    </xf>
    <xf numFmtId="0" fontId="4" fillId="2" borderId="160" xfId="0" applyFont="1" applyFill="1" applyBorder="1" applyAlignment="1">
      <alignment vertical="center"/>
    </xf>
    <xf numFmtId="0" fontId="4" fillId="2" borderId="158" xfId="0" applyFont="1" applyFill="1" applyBorder="1" applyAlignment="1">
      <alignment vertical="center"/>
    </xf>
    <xf numFmtId="0" fontId="4" fillId="2" borderId="151" xfId="0" applyFont="1" applyFill="1" applyBorder="1" applyAlignment="1">
      <alignment horizontal="left" vertical="center"/>
    </xf>
    <xf numFmtId="6" fontId="4" fillId="2" borderId="161" xfId="0" applyNumberFormat="1" applyFont="1" applyFill="1" applyBorder="1" applyAlignment="1">
      <alignment vertical="center"/>
    </xf>
    <xf numFmtId="6" fontId="4" fillId="2" borderId="162" xfId="0" applyNumberFormat="1" applyFont="1" applyFill="1" applyBorder="1" applyAlignment="1">
      <alignment vertical="center"/>
    </xf>
    <xf numFmtId="6" fontId="4" fillId="2" borderId="158" xfId="0" applyNumberFormat="1" applyFont="1" applyFill="1" applyBorder="1" applyAlignment="1">
      <alignment vertical="center"/>
    </xf>
    <xf numFmtId="164" fontId="4" fillId="2" borderId="151" xfId="1" applyNumberFormat="1" applyFont="1" applyFill="1" applyBorder="1" applyAlignment="1" applyProtection="1">
      <alignment horizontal="center" vertical="center"/>
    </xf>
    <xf numFmtId="0" fontId="4" fillId="0" borderId="151" xfId="0" applyFont="1" applyBorder="1" applyAlignment="1">
      <alignment horizontal="left" vertical="center"/>
    </xf>
    <xf numFmtId="6" fontId="4" fillId="0" borderId="151" xfId="0" applyNumberFormat="1" applyFont="1" applyBorder="1" applyAlignment="1">
      <alignment vertical="center"/>
    </xf>
    <xf numFmtId="0" fontId="4" fillId="3" borderId="151" xfId="0" applyFont="1" applyFill="1" applyBorder="1" applyAlignment="1">
      <alignment horizontal="left" vertical="center"/>
    </xf>
    <xf numFmtId="6" fontId="4" fillId="3" borderId="151" xfId="0" applyNumberFormat="1" applyFont="1" applyFill="1" applyBorder="1" applyAlignment="1">
      <alignment vertical="center"/>
    </xf>
    <xf numFmtId="0" fontId="4" fillId="3" borderId="152" xfId="0" applyFont="1" applyFill="1" applyBorder="1" applyAlignment="1">
      <alignment horizontal="center" vertical="center"/>
    </xf>
    <xf numFmtId="0" fontId="4" fillId="3" borderId="153" xfId="0" applyFont="1" applyFill="1" applyBorder="1" applyAlignment="1">
      <alignment vertical="center"/>
    </xf>
    <xf numFmtId="0" fontId="4" fillId="3" borderId="154" xfId="0" applyFont="1" applyFill="1" applyBorder="1" applyAlignment="1">
      <alignment vertical="center"/>
    </xf>
    <xf numFmtId="0" fontId="4" fillId="3" borderId="155" xfId="0" applyFont="1" applyFill="1" applyBorder="1" applyAlignment="1">
      <alignment horizontal="left" vertical="center"/>
    </xf>
    <xf numFmtId="8" fontId="4" fillId="3" borderId="156" xfId="0" applyNumberFormat="1" applyFont="1" applyFill="1" applyBorder="1" applyAlignment="1">
      <alignment vertical="center"/>
    </xf>
    <xf numFmtId="8" fontId="4" fillId="3" borderId="157" xfId="0" applyNumberFormat="1" applyFont="1" applyFill="1" applyBorder="1" applyAlignment="1">
      <alignment vertical="center"/>
    </xf>
    <xf numFmtId="8" fontId="4" fillId="3" borderId="154" xfId="0" applyNumberFormat="1" applyFont="1" applyFill="1" applyBorder="1" applyAlignment="1">
      <alignment vertical="center"/>
    </xf>
    <xf numFmtId="164" fontId="4" fillId="3" borderId="155" xfId="1" applyNumberFormat="1" applyFont="1" applyFill="1" applyBorder="1" applyAlignment="1" applyProtection="1">
      <alignment horizontal="center" vertical="center"/>
    </xf>
    <xf numFmtId="5" fontId="4" fillId="0" borderId="156" xfId="0" applyNumberFormat="1" applyFont="1" applyBorder="1" applyAlignment="1">
      <alignment vertical="center"/>
    </xf>
    <xf numFmtId="5" fontId="4" fillId="0" borderId="157" xfId="0" applyNumberFormat="1" applyFont="1" applyBorder="1" applyAlignment="1">
      <alignment vertical="center"/>
    </xf>
    <xf numFmtId="6" fontId="4" fillId="0" borderId="154" xfId="0" applyNumberFormat="1" applyFont="1" applyBorder="1" applyAlignment="1">
      <alignment vertical="center"/>
    </xf>
    <xf numFmtId="5" fontId="4" fillId="0" borderId="154" xfId="0" applyNumberFormat="1" applyFont="1" applyBorder="1" applyAlignment="1">
      <alignment vertical="center"/>
    </xf>
    <xf numFmtId="0" fontId="4" fillId="0" borderId="153" xfId="0" applyFont="1" applyBorder="1" applyAlignment="1">
      <alignment horizontal="center" vertical="center"/>
    </xf>
    <xf numFmtId="164" fontId="4" fillId="0" borderId="155" xfId="1" applyNumberFormat="1" applyFont="1" applyFill="1" applyBorder="1" applyAlignment="1" applyProtection="1">
      <alignment horizontal="center" vertical="center"/>
    </xf>
    <xf numFmtId="0" fontId="4" fillId="3" borderId="151" xfId="0" applyFont="1" applyFill="1" applyBorder="1" applyAlignment="1">
      <alignment vertical="center"/>
    </xf>
    <xf numFmtId="37" fontId="4" fillId="3" borderId="161" xfId="0" applyNumberFormat="1" applyFont="1" applyFill="1" applyBorder="1" applyAlignment="1">
      <alignment vertical="center"/>
    </xf>
    <xf numFmtId="37" fontId="4" fillId="3" borderId="162" xfId="0" applyNumberFormat="1" applyFont="1" applyFill="1" applyBorder="1" applyAlignment="1">
      <alignment vertical="center"/>
    </xf>
    <xf numFmtId="37" fontId="4" fillId="3" borderId="158" xfId="0" applyNumberFormat="1" applyFont="1" applyFill="1" applyBorder="1" applyAlignment="1">
      <alignment vertical="center"/>
    </xf>
    <xf numFmtId="0" fontId="4" fillId="3" borderId="160" xfId="0" quotePrefix="1" applyFont="1" applyFill="1" applyBorder="1" applyAlignment="1">
      <alignment horizontal="center" vertical="center"/>
    </xf>
    <xf numFmtId="0" fontId="7" fillId="0" borderId="160" xfId="0" applyFont="1" applyBorder="1" applyAlignment="1">
      <alignment vertical="center"/>
    </xf>
    <xf numFmtId="0" fontId="4" fillId="0" borderId="160" xfId="0" quotePrefix="1" applyFont="1" applyBorder="1" applyAlignment="1">
      <alignment horizontal="left" vertical="center"/>
    </xf>
    <xf numFmtId="6" fontId="4" fillId="3" borderId="160" xfId="0" applyNumberFormat="1" applyFont="1" applyFill="1" applyBorder="1" applyAlignment="1">
      <alignment vertical="center"/>
    </xf>
    <xf numFmtId="5" fontId="4" fillId="0" borderId="161" xfId="0" applyNumberFormat="1" applyFont="1" applyBorder="1" applyAlignment="1">
      <alignment vertical="center"/>
    </xf>
    <xf numFmtId="5" fontId="4" fillId="0" borderId="162" xfId="0" applyNumberFormat="1" applyFont="1" applyBorder="1" applyAlignment="1">
      <alignment vertical="center"/>
    </xf>
    <xf numFmtId="0" fontId="4" fillId="2" borderId="158" xfId="0" applyFont="1" applyFill="1" applyBorder="1" applyAlignment="1">
      <alignment horizontal="left" vertical="center"/>
    </xf>
    <xf numFmtId="0" fontId="4" fillId="2" borderId="151" xfId="0" quotePrefix="1" applyFont="1" applyFill="1" applyBorder="1" applyAlignment="1">
      <alignment horizontal="center" vertical="center"/>
    </xf>
    <xf numFmtId="6" fontId="4" fillId="4" borderId="161" xfId="0" applyNumberFormat="1" applyFont="1" applyFill="1" applyBorder="1" applyAlignment="1">
      <alignment vertical="center"/>
    </xf>
    <xf numFmtId="6" fontId="4" fillId="4" borderId="162" xfId="0" applyNumberFormat="1" applyFont="1" applyFill="1" applyBorder="1" applyAlignment="1">
      <alignment vertical="center"/>
    </xf>
    <xf numFmtId="6" fontId="4" fillId="4" borderId="158" xfId="0" applyNumberFormat="1" applyFont="1" applyFill="1" applyBorder="1" applyAlignment="1">
      <alignment vertical="center"/>
    </xf>
    <xf numFmtId="6" fontId="4" fillId="4" borderId="160" xfId="0" applyNumberFormat="1" applyFont="1" applyFill="1" applyBorder="1" applyAlignment="1">
      <alignment vertical="center"/>
    </xf>
    <xf numFmtId="0" fontId="26" fillId="3" borderId="160" xfId="0" applyFont="1" applyFill="1" applyBorder="1" applyAlignment="1">
      <alignment vertical="center"/>
    </xf>
    <xf numFmtId="5" fontId="4" fillId="3" borderId="161" xfId="0" applyNumberFormat="1" applyFont="1" applyFill="1" applyBorder="1" applyAlignment="1">
      <alignment vertical="center"/>
    </xf>
    <xf numFmtId="5" fontId="4" fillId="3" borderId="162" xfId="0" applyNumberFormat="1" applyFont="1" applyFill="1" applyBorder="1" applyAlignment="1">
      <alignment vertical="center"/>
    </xf>
    <xf numFmtId="5" fontId="4" fillId="3" borderId="158" xfId="0" applyNumberFormat="1" applyFont="1" applyFill="1" applyBorder="1" applyAlignment="1">
      <alignment vertical="center"/>
    </xf>
    <xf numFmtId="0" fontId="26" fillId="0" borderId="160" xfId="0" applyFont="1" applyBorder="1" applyAlignment="1">
      <alignment horizontal="left" vertical="center"/>
    </xf>
    <xf numFmtId="0" fontId="4" fillId="0" borderId="160" xfId="0" applyFont="1" applyBorder="1" applyAlignment="1">
      <alignment horizontal="left" vertical="center"/>
    </xf>
    <xf numFmtId="0" fontId="4" fillId="0" borderId="151" xfId="0" quotePrefix="1" applyFont="1" applyBorder="1" applyAlignment="1">
      <alignment horizontal="center" vertical="center"/>
    </xf>
    <xf numFmtId="0" fontId="4" fillId="0" borderId="164" xfId="0" applyFont="1" applyBorder="1" applyAlignment="1">
      <alignment horizontal="center" vertical="center"/>
    </xf>
    <xf numFmtId="0" fontId="4" fillId="0" borderId="165" xfId="0" applyFont="1" applyBorder="1" applyAlignment="1">
      <alignment vertical="center"/>
    </xf>
    <xf numFmtId="0" fontId="4" fillId="0" borderId="166" xfId="0" applyFont="1" applyBorder="1" applyAlignment="1">
      <alignment vertical="center"/>
    </xf>
    <xf numFmtId="0" fontId="4" fillId="0" borderId="163" xfId="0" applyFont="1" applyBorder="1" applyAlignment="1">
      <alignment horizontal="center" vertical="center"/>
    </xf>
    <xf numFmtId="5" fontId="4" fillId="0" borderId="167" xfId="0" applyNumberFormat="1" applyFont="1" applyBorder="1" applyAlignment="1">
      <alignment vertical="center"/>
    </xf>
    <xf numFmtId="5" fontId="4" fillId="0" borderId="168" xfId="0" applyNumberFormat="1" applyFont="1" applyBorder="1" applyAlignment="1">
      <alignment vertical="center"/>
    </xf>
    <xf numFmtId="6" fontId="4" fillId="3" borderId="165" xfId="0" applyNumberFormat="1" applyFont="1" applyFill="1" applyBorder="1" applyAlignment="1">
      <alignment vertical="center"/>
    </xf>
    <xf numFmtId="164" fontId="4" fillId="3" borderId="163" xfId="1" applyNumberFormat="1" applyFont="1" applyFill="1" applyBorder="1" applyAlignment="1" applyProtection="1">
      <alignment horizontal="center" vertical="center"/>
    </xf>
    <xf numFmtId="0" fontId="4" fillId="0" borderId="165" xfId="0" quotePrefix="1" applyFont="1" applyBorder="1" applyAlignment="1">
      <alignment horizontal="left" vertical="center"/>
    </xf>
    <xf numFmtId="0" fontId="4" fillId="2" borderId="164" xfId="0" applyFont="1" applyFill="1" applyBorder="1" applyAlignment="1">
      <alignment horizontal="center" vertical="center"/>
    </xf>
    <xf numFmtId="0" fontId="4" fillId="2" borderId="165" xfId="0" applyFont="1" applyFill="1" applyBorder="1" applyAlignment="1">
      <alignment vertical="center"/>
    </xf>
    <xf numFmtId="0" fontId="4" fillId="2" borderId="166" xfId="0" applyFont="1" applyFill="1" applyBorder="1" applyAlignment="1">
      <alignment horizontal="left" vertical="center"/>
    </xf>
    <xf numFmtId="0" fontId="4" fillId="2" borderId="163" xfId="0" quotePrefix="1" applyFont="1" applyFill="1" applyBorder="1" applyAlignment="1">
      <alignment horizontal="center" vertical="center"/>
    </xf>
    <xf numFmtId="6" fontId="4" fillId="4" borderId="167" xfId="0" applyNumberFormat="1" applyFont="1" applyFill="1" applyBorder="1" applyAlignment="1">
      <alignment vertical="center"/>
    </xf>
    <xf numFmtId="6" fontId="4" fillId="4" borderId="168" xfId="0" applyNumberFormat="1" applyFont="1" applyFill="1" applyBorder="1" applyAlignment="1">
      <alignment vertical="center"/>
    </xf>
    <xf numFmtId="6" fontId="4" fillId="4" borderId="166" xfId="0" applyNumberFormat="1" applyFont="1" applyFill="1" applyBorder="1" applyAlignment="1">
      <alignment vertical="center"/>
    </xf>
    <xf numFmtId="6" fontId="4" fillId="4" borderId="165" xfId="0" applyNumberFormat="1" applyFont="1" applyFill="1" applyBorder="1" applyAlignment="1">
      <alignment vertical="center"/>
    </xf>
    <xf numFmtId="164" fontId="4" fillId="2" borderId="163" xfId="1" applyNumberFormat="1" applyFont="1" applyFill="1" applyBorder="1" applyAlignment="1" applyProtection="1">
      <alignment horizontal="center" vertical="center"/>
    </xf>
    <xf numFmtId="0" fontId="4" fillId="3" borderId="164" xfId="0" applyFont="1" applyFill="1" applyBorder="1" applyAlignment="1">
      <alignment horizontal="center" vertical="center"/>
    </xf>
    <xf numFmtId="0" fontId="4" fillId="3" borderId="165" xfId="0" applyFont="1" applyFill="1" applyBorder="1" applyAlignment="1">
      <alignment vertical="center"/>
    </xf>
    <xf numFmtId="0" fontId="26" fillId="3" borderId="165" xfId="0" applyFont="1" applyFill="1" applyBorder="1" applyAlignment="1">
      <alignment vertical="center"/>
    </xf>
    <xf numFmtId="0" fontId="4" fillId="3" borderId="166" xfId="0" applyFont="1" applyFill="1" applyBorder="1" applyAlignment="1">
      <alignment vertical="center"/>
    </xf>
    <xf numFmtId="0" fontId="4" fillId="3" borderId="163" xfId="0" applyFont="1" applyFill="1" applyBorder="1" applyAlignment="1">
      <alignment horizontal="center" vertical="center"/>
    </xf>
    <xf numFmtId="5" fontId="4" fillId="3" borderId="167" xfId="0" applyNumberFormat="1" applyFont="1" applyFill="1" applyBorder="1" applyAlignment="1">
      <alignment vertical="center"/>
    </xf>
    <xf numFmtId="5" fontId="4" fillId="3" borderId="168" xfId="0" applyNumberFormat="1" applyFont="1" applyFill="1" applyBorder="1" applyAlignment="1">
      <alignment vertical="center"/>
    </xf>
    <xf numFmtId="6" fontId="4" fillId="3" borderId="166" xfId="0" applyNumberFormat="1" applyFont="1" applyFill="1" applyBorder="1" applyAlignment="1">
      <alignment vertical="center"/>
    </xf>
    <xf numFmtId="5" fontId="4" fillId="3" borderId="166" xfId="0" applyNumberFormat="1" applyFont="1" applyFill="1" applyBorder="1" applyAlignment="1">
      <alignment vertical="center"/>
    </xf>
    <xf numFmtId="0" fontId="26" fillId="0" borderId="165" xfId="0" applyFont="1" applyBorder="1" applyAlignment="1">
      <alignment horizontal="left" vertical="center"/>
    </xf>
    <xf numFmtId="0" fontId="4" fillId="0" borderId="165" xfId="0" applyFont="1" applyBorder="1" applyAlignment="1">
      <alignment horizontal="left" vertical="center"/>
    </xf>
    <xf numFmtId="0" fontId="4" fillId="0" borderId="163" xfId="0" quotePrefix="1" applyFont="1" applyBorder="1" applyAlignment="1">
      <alignment horizontal="center" vertical="center"/>
    </xf>
    <xf numFmtId="0" fontId="4" fillId="3" borderId="155" xfId="0" applyFont="1" applyFill="1" applyBorder="1" applyAlignment="1">
      <alignment horizontal="center" vertical="center"/>
    </xf>
    <xf numFmtId="5" fontId="4" fillId="3" borderId="156" xfId="0" applyNumberFormat="1" applyFont="1" applyFill="1" applyBorder="1" applyAlignment="1">
      <alignment vertical="center"/>
    </xf>
    <xf numFmtId="5" fontId="4" fillId="3" borderId="157" xfId="0" applyNumberFormat="1" applyFont="1" applyFill="1" applyBorder="1" applyAlignment="1">
      <alignment vertical="center"/>
    </xf>
    <xf numFmtId="6" fontId="4" fillId="3" borderId="154" xfId="0" applyNumberFormat="1" applyFont="1" applyFill="1" applyBorder="1" applyAlignment="1">
      <alignment vertical="center"/>
    </xf>
    <xf numFmtId="5" fontId="4" fillId="3" borderId="154" xfId="0" applyNumberFormat="1" applyFont="1" applyFill="1" applyBorder="1" applyAlignment="1">
      <alignment vertical="center"/>
    </xf>
    <xf numFmtId="6" fontId="4" fillId="3" borderId="153" xfId="0" applyNumberFormat="1" applyFont="1" applyFill="1" applyBorder="1" applyAlignment="1">
      <alignment vertical="center"/>
    </xf>
    <xf numFmtId="0" fontId="4" fillId="2" borderId="158" xfId="0" quotePrefix="1" applyFont="1" applyFill="1" applyBorder="1" applyAlignment="1">
      <alignment horizontal="left" vertical="center"/>
    </xf>
    <xf numFmtId="0" fontId="4" fillId="6" borderId="159" xfId="0" applyFont="1" applyFill="1" applyBorder="1" applyAlignment="1">
      <alignment horizontal="center" vertical="center"/>
    </xf>
    <xf numFmtId="0" fontId="4" fillId="9" borderId="159" xfId="0" applyFont="1" applyFill="1" applyBorder="1" applyAlignment="1">
      <alignment horizontal="center" vertical="center"/>
    </xf>
    <xf numFmtId="0" fontId="4" fillId="2" borderId="151" xfId="0" applyFont="1" applyFill="1" applyBorder="1" applyAlignment="1">
      <alignment vertical="center"/>
    </xf>
    <xf numFmtId="164" fontId="4" fillId="2" borderId="151" xfId="1" applyNumberFormat="1" applyFont="1" applyFill="1" applyBorder="1" applyAlignment="1" applyProtection="1">
      <alignment vertical="center"/>
    </xf>
    <xf numFmtId="0" fontId="6" fillId="0" borderId="0" xfId="0" applyFont="1" applyAlignment="1">
      <alignment vertical="center" wrapText="1"/>
    </xf>
    <xf numFmtId="0" fontId="11" fillId="0" borderId="0" xfId="0" quotePrefix="1" applyFont="1" applyAlignment="1">
      <alignment horizontal="center" vertical="center"/>
    </xf>
    <xf numFmtId="0" fontId="10" fillId="6" borderId="0" xfId="0" quotePrefix="1" applyFont="1" applyFill="1" applyAlignment="1">
      <alignment horizontal="right" vertical="center"/>
    </xf>
    <xf numFmtId="0" fontId="10" fillId="6" borderId="0" xfId="0" applyFont="1" applyFill="1" applyAlignment="1">
      <alignment horizontal="right" vertical="center"/>
    </xf>
    <xf numFmtId="0" fontId="18" fillId="0" borderId="0" xfId="0" quotePrefix="1" applyFont="1" applyAlignment="1">
      <alignment horizontal="center" vertical="center"/>
    </xf>
    <xf numFmtId="37" fontId="10" fillId="0" borderId="65" xfId="0" applyNumberFormat="1" applyFont="1" applyBorder="1" applyAlignment="1">
      <alignment vertical="center"/>
    </xf>
    <xf numFmtId="6" fontId="10" fillId="2" borderId="21" xfId="0" applyNumberFormat="1" applyFont="1" applyFill="1" applyBorder="1" applyAlignment="1">
      <alignment vertical="center"/>
    </xf>
    <xf numFmtId="6" fontId="10" fillId="2" borderId="67" xfId="0" applyNumberFormat="1" applyFont="1" applyFill="1" applyBorder="1" applyAlignment="1">
      <alignment vertical="center"/>
    </xf>
    <xf numFmtId="6" fontId="10" fillId="0" borderId="68" xfId="0" applyNumberFormat="1" applyFont="1" applyBorder="1" applyAlignment="1">
      <alignment vertical="center"/>
    </xf>
    <xf numFmtId="6" fontId="10" fillId="3" borderId="88" xfId="0" applyNumberFormat="1" applyFont="1" applyFill="1" applyBorder="1" applyAlignment="1">
      <alignment vertical="center"/>
    </xf>
    <xf numFmtId="6" fontId="10" fillId="6" borderId="120" xfId="0" applyNumberFormat="1" applyFont="1" applyFill="1" applyBorder="1" applyAlignment="1">
      <alignment vertical="center"/>
    </xf>
    <xf numFmtId="6" fontId="10" fillId="6" borderId="121" xfId="0" applyNumberFormat="1" applyFont="1" applyFill="1" applyBorder="1" applyAlignment="1">
      <alignment vertical="center"/>
    </xf>
    <xf numFmtId="6" fontId="10" fillId="6" borderId="111" xfId="0" applyNumberFormat="1" applyFont="1" applyFill="1" applyBorder="1" applyAlignment="1">
      <alignment vertical="center"/>
    </xf>
    <xf numFmtId="6" fontId="10" fillId="2" borderId="48" xfId="0" applyNumberFormat="1" applyFont="1" applyFill="1" applyBorder="1" applyAlignment="1">
      <alignment vertical="center"/>
    </xf>
    <xf numFmtId="6" fontId="10" fillId="3" borderId="43" xfId="0" applyNumberFormat="1" applyFont="1" applyFill="1" applyBorder="1" applyAlignment="1">
      <alignment vertical="center"/>
    </xf>
    <xf numFmtId="6" fontId="10" fillId="6" borderId="46" xfId="0" applyNumberFormat="1" applyFont="1" applyFill="1" applyBorder="1" applyAlignment="1">
      <alignment vertical="center"/>
    </xf>
    <xf numFmtId="6" fontId="10" fillId="6" borderId="44" xfId="0" applyNumberFormat="1" applyFont="1" applyFill="1" applyBorder="1" applyAlignment="1">
      <alignment vertical="center"/>
    </xf>
    <xf numFmtId="6" fontId="11" fillId="2" borderId="55" xfId="0" applyNumberFormat="1" applyFont="1" applyFill="1" applyBorder="1" applyAlignment="1">
      <alignment vertical="center"/>
    </xf>
    <xf numFmtId="5" fontId="10" fillId="0" borderId="77" xfId="0" applyNumberFormat="1" applyFont="1" applyBorder="1" applyAlignment="1">
      <alignment vertical="center"/>
    </xf>
    <xf numFmtId="0" fontId="10" fillId="0" borderId="57" xfId="0" quotePrefix="1" applyFont="1" applyBorder="1" applyAlignment="1">
      <alignment horizontal="center" vertical="center"/>
    </xf>
    <xf numFmtId="6" fontId="11" fillId="2" borderId="49" xfId="0" applyNumberFormat="1" applyFont="1" applyFill="1" applyBorder="1" applyAlignment="1">
      <alignment vertical="center"/>
    </xf>
    <xf numFmtId="6" fontId="11" fillId="2" borderId="48" xfId="0" applyNumberFormat="1" applyFont="1" applyFill="1" applyBorder="1" applyAlignment="1">
      <alignment vertical="center"/>
    </xf>
    <xf numFmtId="164" fontId="11" fillId="2" borderId="48" xfId="1" applyNumberFormat="1" applyFont="1" applyFill="1" applyBorder="1" applyAlignment="1" applyProtection="1">
      <alignment horizontal="center" vertical="center"/>
    </xf>
    <xf numFmtId="0" fontId="4" fillId="0" borderId="7" xfId="0" applyFont="1" applyBorder="1" applyAlignment="1">
      <alignment horizontal="center" vertical="center"/>
    </xf>
    <xf numFmtId="0" fontId="4" fillId="3" borderId="59" xfId="0" applyFont="1" applyFill="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4" fillId="3" borderId="60" xfId="0" applyFont="1" applyFill="1" applyBorder="1" applyAlignment="1">
      <alignment horizontal="center" vertical="center"/>
    </xf>
    <xf numFmtId="0" fontId="4" fillId="0" borderId="9" xfId="0" applyFont="1" applyBorder="1" applyAlignment="1">
      <alignment horizontal="center" vertical="center"/>
    </xf>
    <xf numFmtId="0" fontId="4" fillId="2" borderId="9" xfId="0" applyFont="1" applyFill="1" applyBorder="1" applyAlignment="1">
      <alignment horizontal="center" vertical="center"/>
    </xf>
    <xf numFmtId="0" fontId="4" fillId="2" borderId="52" xfId="0" applyFont="1" applyFill="1" applyBorder="1" applyAlignment="1">
      <alignment horizontal="center" vertical="center"/>
    </xf>
    <xf numFmtId="0" fontId="4" fillId="0" borderId="74" xfId="0" applyFont="1" applyBorder="1" applyAlignment="1">
      <alignment horizontal="center" vertical="center"/>
    </xf>
    <xf numFmtId="0" fontId="4" fillId="3" borderId="61" xfId="0" applyFont="1" applyFill="1" applyBorder="1" applyAlignment="1">
      <alignment horizontal="center" vertical="center"/>
    </xf>
    <xf numFmtId="0" fontId="4" fillId="3" borderId="78" xfId="0" applyFont="1" applyFill="1" applyBorder="1" applyAlignment="1">
      <alignment horizontal="center" vertical="center"/>
    </xf>
    <xf numFmtId="0" fontId="4" fillId="0" borderId="61" xfId="0" applyFont="1" applyBorder="1" applyAlignment="1">
      <alignment horizontal="center" vertical="center"/>
    </xf>
    <xf numFmtId="0" fontId="4" fillId="6" borderId="108" xfId="0" applyFont="1" applyFill="1" applyBorder="1" applyAlignment="1">
      <alignment horizontal="center" vertical="center"/>
    </xf>
    <xf numFmtId="0" fontId="4" fillId="9" borderId="9" xfId="0" applyFont="1" applyFill="1" applyBorder="1" applyAlignment="1">
      <alignment horizontal="center" vertical="center"/>
    </xf>
    <xf numFmtId="0" fontId="4" fillId="0" borderId="53" xfId="0" applyFont="1" applyBorder="1" applyAlignment="1">
      <alignment horizontal="center" vertical="center"/>
    </xf>
    <xf numFmtId="0" fontId="10" fillId="0" borderId="54" xfId="0" applyFont="1" applyBorder="1" applyAlignment="1">
      <alignment vertical="center"/>
    </xf>
    <xf numFmtId="0" fontId="10" fillId="0" borderId="47" xfId="0" applyFont="1" applyBorder="1" applyAlignment="1">
      <alignment vertical="center"/>
    </xf>
    <xf numFmtId="0" fontId="10" fillId="0" borderId="48" xfId="0" applyFont="1" applyBorder="1" applyAlignment="1">
      <alignment horizontal="left" vertical="center"/>
    </xf>
    <xf numFmtId="6" fontId="10" fillId="0" borderId="55" xfId="0" applyNumberFormat="1" applyFont="1" applyBorder="1" applyAlignment="1">
      <alignment vertical="center"/>
    </xf>
    <xf numFmtId="6" fontId="10" fillId="0" borderId="56" xfId="0" applyNumberFormat="1" applyFont="1" applyBorder="1" applyAlignment="1">
      <alignment vertical="center"/>
    </xf>
    <xf numFmtId="6" fontId="10" fillId="0" borderId="69" xfId="0" applyNumberFormat="1" applyFont="1" applyBorder="1" applyAlignment="1">
      <alignment vertical="center"/>
    </xf>
    <xf numFmtId="6" fontId="10" fillId="0" borderId="48" xfId="0" applyNumberFormat="1" applyFont="1" applyBorder="1" applyAlignment="1">
      <alignment vertical="center"/>
    </xf>
    <xf numFmtId="164" fontId="10" fillId="0" borderId="48" xfId="1" applyNumberFormat="1" applyFont="1" applyFill="1" applyBorder="1" applyAlignment="1" applyProtection="1">
      <alignment horizontal="center" vertical="center"/>
    </xf>
    <xf numFmtId="6" fontId="4" fillId="0" borderId="162" xfId="0" applyNumberFormat="1" applyFont="1" applyBorder="1" applyAlignment="1" applyProtection="1">
      <alignment vertical="center"/>
      <protection locked="0"/>
    </xf>
    <xf numFmtId="6" fontId="4" fillId="0" borderId="158" xfId="0" applyNumberFormat="1" applyFont="1" applyBorder="1" applyAlignment="1" applyProtection="1">
      <alignment vertical="center"/>
      <protection locked="0"/>
    </xf>
    <xf numFmtId="0" fontId="4" fillId="0" borderId="158" xfId="0" applyFont="1" applyBorder="1" applyAlignment="1" applyProtection="1">
      <alignment vertical="center"/>
      <protection locked="0"/>
    </xf>
    <xf numFmtId="0" fontId="4" fillId="0" borderId="151" xfId="0" applyFont="1" applyBorder="1" applyAlignment="1" applyProtection="1">
      <alignment horizontal="center" vertical="center"/>
      <protection locked="0"/>
    </xf>
    <xf numFmtId="0" fontId="4" fillId="0" borderId="160" xfId="0" applyFont="1" applyBorder="1" applyAlignment="1" applyProtection="1">
      <alignment vertical="center"/>
      <protection locked="0"/>
    </xf>
    <xf numFmtId="0" fontId="4" fillId="0" borderId="151" xfId="0" applyFont="1" applyBorder="1" applyAlignment="1" applyProtection="1">
      <alignment horizontal="left" vertical="center"/>
      <protection locked="0"/>
    </xf>
    <xf numFmtId="5" fontId="4" fillId="0" borderId="162" xfId="0" applyNumberFormat="1" applyFont="1" applyBorder="1" applyAlignment="1" applyProtection="1">
      <alignment vertical="center"/>
      <protection locked="0"/>
    </xf>
    <xf numFmtId="5" fontId="4" fillId="0" borderId="158" xfId="0" applyNumberFormat="1" applyFont="1" applyBorder="1" applyAlignment="1" applyProtection="1">
      <alignment vertical="center"/>
      <protection locked="0"/>
    </xf>
    <xf numFmtId="5" fontId="4" fillId="0" borderId="168" xfId="0" applyNumberFormat="1" applyFont="1" applyBorder="1" applyAlignment="1" applyProtection="1">
      <alignment vertical="center"/>
      <protection locked="0"/>
    </xf>
    <xf numFmtId="6" fontId="4" fillId="0" borderId="166" xfId="0" applyNumberFormat="1" applyFont="1" applyBorder="1" applyAlignment="1" applyProtection="1">
      <alignment vertical="center"/>
      <protection locked="0"/>
    </xf>
    <xf numFmtId="5" fontId="4" fillId="0" borderId="166" xfId="0" applyNumberFormat="1" applyFont="1" applyBorder="1" applyAlignment="1" applyProtection="1">
      <alignment vertical="center"/>
      <protection locked="0"/>
    </xf>
    <xf numFmtId="0" fontId="4" fillId="0" borderId="160" xfId="0" applyFont="1" applyBorder="1" applyAlignment="1" applyProtection="1">
      <alignment horizontal="left" vertical="center"/>
      <protection locked="0"/>
    </xf>
    <xf numFmtId="0" fontId="10" fillId="0" borderId="0" xfId="0" applyFont="1" applyAlignment="1" applyProtection="1">
      <alignment horizontal="right" vertical="center"/>
      <protection locked="0"/>
    </xf>
    <xf numFmtId="0" fontId="4" fillId="0" borderId="155" xfId="0" applyFont="1" applyBorder="1" applyAlignment="1" applyProtection="1">
      <alignment vertical="center"/>
      <protection locked="0"/>
    </xf>
    <xf numFmtId="8" fontId="4" fillId="3" borderId="151" xfId="0" applyNumberFormat="1" applyFont="1" applyFill="1" applyBorder="1" applyAlignment="1" applyProtection="1">
      <alignment horizontal="left" vertical="center"/>
      <protection locked="0"/>
    </xf>
    <xf numFmtId="164" fontId="4" fillId="0" borderId="151" xfId="1" applyNumberFormat="1" applyFont="1" applyBorder="1" applyAlignment="1" applyProtection="1">
      <alignment horizontal="left" vertical="center"/>
      <protection locked="0"/>
    </xf>
    <xf numFmtId="164" fontId="4" fillId="2" borderId="151" xfId="1" applyNumberFormat="1" applyFont="1" applyFill="1" applyBorder="1" applyAlignment="1" applyProtection="1">
      <alignment horizontal="left" vertical="center"/>
      <protection locked="0"/>
    </xf>
    <xf numFmtId="6" fontId="4" fillId="0" borderId="151" xfId="0" applyNumberFormat="1" applyFont="1" applyBorder="1" applyAlignment="1" applyProtection="1">
      <alignment horizontal="left" vertical="center"/>
      <protection locked="0"/>
    </xf>
    <xf numFmtId="6" fontId="4" fillId="3" borderId="151" xfId="0" applyNumberFormat="1" applyFont="1" applyFill="1" applyBorder="1" applyAlignment="1" applyProtection="1">
      <alignment horizontal="left" vertical="center"/>
      <protection locked="0"/>
    </xf>
    <xf numFmtId="164" fontId="4" fillId="0" borderId="130" xfId="1" applyNumberFormat="1" applyFont="1" applyFill="1" applyBorder="1" applyAlignment="1" applyProtection="1">
      <alignment horizontal="center" vertical="center"/>
      <protection locked="0"/>
    </xf>
    <xf numFmtId="164" fontId="4" fillId="3" borderId="155" xfId="1" applyNumberFormat="1" applyFont="1" applyFill="1" applyBorder="1" applyAlignment="1" applyProtection="1">
      <alignment horizontal="center" vertical="center"/>
      <protection locked="0"/>
    </xf>
    <xf numFmtId="164" fontId="4" fillId="3" borderId="151" xfId="1" applyNumberFormat="1" applyFont="1" applyFill="1" applyBorder="1" applyAlignment="1" applyProtection="1">
      <alignment horizontal="center" vertical="center"/>
      <protection locked="0"/>
    </xf>
    <xf numFmtId="164" fontId="4" fillId="3" borderId="151" xfId="1" applyNumberFormat="1" applyFont="1" applyFill="1" applyBorder="1" applyAlignment="1" applyProtection="1">
      <alignment horizontal="left" vertical="center"/>
      <protection locked="0"/>
    </xf>
    <xf numFmtId="164" fontId="4" fillId="2" borderId="130" xfId="1" applyNumberFormat="1" applyFont="1" applyFill="1" applyBorder="1" applyAlignment="1" applyProtection="1">
      <alignment horizontal="left" vertical="center"/>
      <protection locked="0"/>
    </xf>
    <xf numFmtId="164" fontId="4" fillId="0" borderId="155" xfId="1" applyNumberFormat="1" applyFont="1" applyBorder="1" applyAlignment="1" applyProtection="1">
      <alignment horizontal="left" vertical="center"/>
      <protection locked="0"/>
    </xf>
    <xf numFmtId="164" fontId="4" fillId="0" borderId="163" xfId="1" applyNumberFormat="1" applyFont="1" applyBorder="1" applyAlignment="1" applyProtection="1">
      <alignment horizontal="left" vertical="center"/>
      <protection locked="0"/>
    </xf>
    <xf numFmtId="164" fontId="4" fillId="2" borderId="163" xfId="1" applyNumberFormat="1" applyFont="1" applyFill="1" applyBorder="1" applyAlignment="1" applyProtection="1">
      <alignment horizontal="left" vertical="center"/>
      <protection locked="0"/>
    </xf>
    <xf numFmtId="164" fontId="4" fillId="3" borderId="163" xfId="1" applyNumberFormat="1" applyFont="1" applyFill="1" applyBorder="1" applyAlignment="1" applyProtection="1">
      <alignment horizontal="left" vertical="center"/>
      <protection locked="0"/>
    </xf>
    <xf numFmtId="164" fontId="4" fillId="3" borderId="155" xfId="1" applyNumberFormat="1" applyFont="1" applyFill="1" applyBorder="1" applyAlignment="1" applyProtection="1">
      <alignment horizontal="left" vertical="center"/>
      <protection locked="0"/>
    </xf>
    <xf numFmtId="0" fontId="4" fillId="2" borderId="151" xfId="0" applyFont="1" applyFill="1" applyBorder="1" applyAlignment="1" applyProtection="1">
      <alignment vertical="center"/>
      <protection locked="0"/>
    </xf>
    <xf numFmtId="0" fontId="5" fillId="0" borderId="122" xfId="0" applyFont="1" applyBorder="1" applyProtection="1">
      <protection locked="0"/>
    </xf>
    <xf numFmtId="0" fontId="10" fillId="0" borderId="58" xfId="0" applyFont="1" applyBorder="1" applyAlignment="1" applyProtection="1">
      <alignment vertical="center"/>
      <protection locked="0"/>
    </xf>
    <xf numFmtId="8" fontId="10" fillId="3" borderId="42" xfId="0" applyNumberFormat="1" applyFont="1" applyFill="1" applyBorder="1" applyAlignment="1" applyProtection="1">
      <alignment horizontal="left" vertical="center"/>
      <protection locked="0"/>
    </xf>
    <xf numFmtId="164" fontId="10" fillId="0" borderId="33" xfId="1" applyNumberFormat="1" applyFont="1" applyBorder="1" applyAlignment="1" applyProtection="1">
      <alignment horizontal="left" vertical="center"/>
      <protection locked="0"/>
    </xf>
    <xf numFmtId="164" fontId="10" fillId="0" borderId="16" xfId="1" applyNumberFormat="1" applyFont="1" applyBorder="1" applyAlignment="1" applyProtection="1">
      <alignment horizontal="left" vertical="center"/>
      <protection locked="0"/>
    </xf>
    <xf numFmtId="164" fontId="10" fillId="0" borderId="117" xfId="1" applyNumberFormat="1" applyFont="1" applyBorder="1" applyAlignment="1" applyProtection="1">
      <alignment horizontal="left" vertical="center"/>
      <protection locked="0"/>
    </xf>
    <xf numFmtId="164" fontId="10" fillId="0" borderId="119" xfId="1" applyNumberFormat="1" applyFont="1" applyBorder="1" applyAlignment="1" applyProtection="1">
      <alignment horizontal="left" vertical="center"/>
      <protection locked="0"/>
    </xf>
    <xf numFmtId="164" fontId="10" fillId="0" borderId="118" xfId="1" applyNumberFormat="1" applyFont="1" applyBorder="1" applyAlignment="1" applyProtection="1">
      <alignment horizontal="left" vertical="center"/>
      <protection locked="0"/>
    </xf>
    <xf numFmtId="164" fontId="10" fillId="2" borderId="16" xfId="1" applyNumberFormat="1" applyFont="1" applyFill="1" applyBorder="1" applyAlignment="1" applyProtection="1">
      <alignment horizontal="left" vertical="center"/>
      <protection locked="0"/>
    </xf>
    <xf numFmtId="6" fontId="10" fillId="0" borderId="40" xfId="0" applyNumberFormat="1" applyFont="1" applyBorder="1" applyAlignment="1" applyProtection="1">
      <alignment horizontal="left" vertical="center"/>
      <protection locked="0"/>
    </xf>
    <xf numFmtId="6" fontId="10" fillId="3" borderId="42" xfId="0" applyNumberFormat="1" applyFont="1" applyFill="1" applyBorder="1" applyAlignment="1" applyProtection="1">
      <alignment horizontal="left" vertical="center"/>
      <protection locked="0"/>
    </xf>
    <xf numFmtId="6" fontId="10" fillId="3" borderId="33" xfId="0" applyNumberFormat="1" applyFont="1" applyFill="1" applyBorder="1" applyAlignment="1" applyProtection="1">
      <alignment horizontal="left" vertical="center"/>
      <protection locked="0"/>
    </xf>
    <xf numFmtId="6" fontId="10" fillId="3" borderId="16" xfId="0" applyNumberFormat="1" applyFont="1" applyFill="1" applyBorder="1" applyAlignment="1" applyProtection="1">
      <alignment horizontal="left" vertical="center"/>
      <protection locked="0"/>
    </xf>
    <xf numFmtId="164" fontId="10" fillId="0" borderId="51" xfId="1" applyNumberFormat="1" applyFont="1" applyFill="1" applyBorder="1" applyAlignment="1" applyProtection="1">
      <alignment horizontal="left" vertical="center"/>
      <protection locked="0"/>
    </xf>
    <xf numFmtId="164" fontId="10" fillId="3" borderId="42" xfId="1" applyNumberFormat="1" applyFont="1" applyFill="1" applyBorder="1" applyAlignment="1" applyProtection="1">
      <alignment horizontal="center" vertical="center"/>
      <protection locked="0"/>
    </xf>
    <xf numFmtId="164" fontId="10" fillId="3" borderId="33" xfId="1" applyNumberFormat="1" applyFont="1" applyFill="1" applyBorder="1" applyAlignment="1" applyProtection="1">
      <alignment horizontal="center" vertical="center"/>
      <protection locked="0"/>
    </xf>
    <xf numFmtId="164" fontId="10" fillId="3" borderId="16" xfId="1" applyNumberFormat="1" applyFont="1" applyFill="1" applyBorder="1" applyAlignment="1" applyProtection="1">
      <alignment horizontal="left" vertical="center"/>
      <protection locked="0"/>
    </xf>
    <xf numFmtId="164" fontId="10" fillId="3" borderId="73" xfId="1" applyNumberFormat="1" applyFont="1" applyFill="1" applyBorder="1" applyAlignment="1" applyProtection="1">
      <alignment horizontal="left" vertical="center"/>
      <protection locked="0"/>
    </xf>
    <xf numFmtId="164" fontId="10" fillId="3" borderId="33" xfId="1" applyNumberFormat="1" applyFont="1" applyFill="1" applyBorder="1" applyAlignment="1" applyProtection="1">
      <alignment horizontal="left" vertical="center"/>
      <protection locked="0"/>
    </xf>
    <xf numFmtId="164" fontId="10" fillId="2" borderId="51" xfId="1" applyNumberFormat="1" applyFont="1" applyFill="1" applyBorder="1" applyAlignment="1" applyProtection="1">
      <alignment horizontal="left" vertical="center"/>
      <protection locked="0"/>
    </xf>
    <xf numFmtId="164" fontId="10" fillId="0" borderId="58" xfId="1" applyNumberFormat="1" applyFont="1" applyBorder="1" applyAlignment="1" applyProtection="1">
      <alignment horizontal="left" vertical="center"/>
      <protection locked="0"/>
    </xf>
    <xf numFmtId="164" fontId="10" fillId="3" borderId="42" xfId="1" applyNumberFormat="1" applyFont="1" applyFill="1" applyBorder="1" applyAlignment="1" applyProtection="1">
      <alignment horizontal="left" vertical="center"/>
      <protection locked="0"/>
    </xf>
    <xf numFmtId="0" fontId="10" fillId="2" borderId="6" xfId="0" applyFont="1" applyFill="1" applyBorder="1" applyAlignment="1" applyProtection="1">
      <alignment vertical="center"/>
      <protection locked="0"/>
    </xf>
    <xf numFmtId="6" fontId="11" fillId="0" borderId="85" xfId="0" applyNumberFormat="1" applyFont="1" applyBorder="1" applyAlignment="1" applyProtection="1">
      <alignment vertical="center"/>
      <protection locked="0"/>
    </xf>
    <xf numFmtId="0" fontId="10" fillId="0" borderId="6" xfId="0" applyFont="1" applyBorder="1" applyAlignment="1" applyProtection="1">
      <alignment vertical="center"/>
      <protection locked="0"/>
    </xf>
    <xf numFmtId="0" fontId="10" fillId="0" borderId="6" xfId="0" applyFont="1" applyBorder="1" applyAlignment="1" applyProtection="1">
      <alignment horizontal="left" vertical="center"/>
      <protection locked="0"/>
    </xf>
    <xf numFmtId="0" fontId="10" fillId="0" borderId="17" xfId="0" applyFont="1" applyBorder="1" applyAlignment="1" applyProtection="1">
      <alignment horizontal="center" vertical="center"/>
      <protection locked="0"/>
    </xf>
    <xf numFmtId="6" fontId="10" fillId="0" borderId="21" xfId="0" applyNumberFormat="1" applyFont="1" applyBorder="1" applyAlignment="1" applyProtection="1">
      <alignment vertical="center"/>
      <protection locked="0"/>
    </xf>
    <xf numFmtId="6" fontId="10" fillId="0" borderId="20" xfId="0" applyNumberFormat="1" applyFont="1" applyBorder="1" applyAlignment="1" applyProtection="1">
      <alignment vertical="center"/>
      <protection locked="0"/>
    </xf>
    <xf numFmtId="0" fontId="10" fillId="0" borderId="17" xfId="0" applyFont="1" applyBorder="1" applyAlignment="1" applyProtection="1">
      <alignment horizontal="left" vertical="center"/>
      <protection locked="0"/>
    </xf>
    <xf numFmtId="0" fontId="14" fillId="0" borderId="6" xfId="0" applyFont="1" applyBorder="1" applyAlignment="1" applyProtection="1">
      <alignment vertical="center"/>
      <protection locked="0"/>
    </xf>
    <xf numFmtId="0" fontId="14" fillId="0" borderId="17" xfId="0" applyFont="1" applyBorder="1" applyAlignment="1" applyProtection="1">
      <alignment horizontal="center" vertical="center"/>
      <protection locked="0"/>
    </xf>
    <xf numFmtId="6" fontId="14" fillId="0" borderId="21" xfId="0" applyNumberFormat="1" applyFont="1" applyBorder="1" applyAlignment="1" applyProtection="1">
      <alignment vertical="center"/>
      <protection locked="0"/>
    </xf>
    <xf numFmtId="6" fontId="14" fillId="0" borderId="20" xfId="0" applyNumberFormat="1" applyFont="1" applyBorder="1" applyAlignment="1" applyProtection="1">
      <alignment vertical="center"/>
      <protection locked="0"/>
    </xf>
    <xf numFmtId="0" fontId="10" fillId="0" borderId="5" xfId="0" applyFont="1" applyBorder="1" applyAlignment="1" applyProtection="1">
      <alignment vertical="center"/>
      <protection locked="0"/>
    </xf>
    <xf numFmtId="6" fontId="10" fillId="0" borderId="30" xfId="0" applyNumberFormat="1" applyFont="1" applyBorder="1" applyAlignment="1" applyProtection="1">
      <alignment vertical="center"/>
      <protection locked="0"/>
    </xf>
    <xf numFmtId="6" fontId="10" fillId="0" borderId="67" xfId="0" applyNumberFormat="1" applyFont="1" applyBorder="1" applyAlignment="1" applyProtection="1">
      <alignment vertical="center"/>
      <protection locked="0"/>
    </xf>
    <xf numFmtId="0" fontId="14" fillId="0" borderId="5" xfId="0" applyFont="1" applyBorder="1" applyAlignment="1" applyProtection="1">
      <alignment vertical="center"/>
      <protection locked="0"/>
    </xf>
    <xf numFmtId="0" fontId="14" fillId="0" borderId="17" xfId="0" applyFont="1" applyBorder="1" applyAlignment="1" applyProtection="1">
      <alignment horizontal="left" vertical="center"/>
      <protection locked="0"/>
    </xf>
    <xf numFmtId="6" fontId="14" fillId="0" borderId="67" xfId="0" applyNumberFormat="1" applyFont="1" applyBorder="1" applyAlignment="1" applyProtection="1">
      <alignment vertical="center"/>
      <protection locked="0"/>
    </xf>
    <xf numFmtId="6" fontId="10" fillId="0" borderId="31" xfId="0" applyNumberFormat="1" applyFont="1" applyBorder="1" applyAlignment="1" applyProtection="1">
      <alignment vertical="center"/>
      <protection locked="0"/>
    </xf>
    <xf numFmtId="6" fontId="10" fillId="0" borderId="66" xfId="0" applyNumberFormat="1" applyFont="1" applyBorder="1" applyAlignment="1" applyProtection="1">
      <alignment vertical="center"/>
      <protection locked="0"/>
    </xf>
    <xf numFmtId="0" fontId="8" fillId="0" borderId="99" xfId="0" applyFont="1" applyBorder="1" applyAlignment="1" applyProtection="1">
      <alignment horizontal="center" vertical="center"/>
      <protection locked="0"/>
    </xf>
    <xf numFmtId="16" fontId="0" fillId="0" borderId="0" xfId="0" quotePrefix="1" applyNumberFormat="1" applyAlignment="1">
      <alignment vertical="center"/>
    </xf>
    <xf numFmtId="0" fontId="0" fillId="0" borderId="0" xfId="0" quotePrefix="1" applyAlignment="1">
      <alignment vertical="center"/>
    </xf>
    <xf numFmtId="0" fontId="0" fillId="0" borderId="0" xfId="0" applyAlignment="1">
      <alignment horizontal="left" vertical="center" wrapText="1" indent="2"/>
    </xf>
    <xf numFmtId="0" fontId="27" fillId="0" borderId="0" xfId="0" applyFont="1" applyAlignment="1">
      <alignment horizontal="center" vertical="center"/>
    </xf>
    <xf numFmtId="0" fontId="17" fillId="0" borderId="0" xfId="0" applyFont="1" applyAlignment="1">
      <alignment vertical="center"/>
    </xf>
    <xf numFmtId="165" fontId="29" fillId="17" borderId="0" xfId="0" applyNumberFormat="1" applyFont="1" applyFill="1"/>
    <xf numFmtId="165" fontId="29" fillId="17" borderId="0" xfId="2" applyNumberFormat="1" applyFont="1" applyFill="1"/>
    <xf numFmtId="165" fontId="30" fillId="0" borderId="0" xfId="0" applyNumberFormat="1" applyFont="1"/>
    <xf numFmtId="165" fontId="30" fillId="0" borderId="0" xfId="2" applyNumberFormat="1" applyFont="1"/>
    <xf numFmtId="165" fontId="31" fillId="0" borderId="169" xfId="0" applyNumberFormat="1" applyFont="1" applyBorder="1"/>
    <xf numFmtId="165" fontId="31" fillId="0" borderId="169" xfId="2" applyNumberFormat="1" applyFont="1" applyBorder="1"/>
    <xf numFmtId="165" fontId="0" fillId="0" borderId="0" xfId="0" applyNumberFormat="1"/>
    <xf numFmtId="165" fontId="0" fillId="0" borderId="0" xfId="2" applyNumberFormat="1" applyFont="1"/>
    <xf numFmtId="0" fontId="0" fillId="18" borderId="0" xfId="0" applyFill="1"/>
    <xf numFmtId="165" fontId="30" fillId="0" borderId="171" xfId="2" applyNumberFormat="1" applyFont="1" applyBorder="1"/>
    <xf numFmtId="165" fontId="30" fillId="0" borderId="171" xfId="0" applyNumberFormat="1" applyFont="1" applyBorder="1"/>
    <xf numFmtId="165" fontId="0" fillId="18" borderId="0" xfId="0" applyNumberFormat="1" applyFill="1"/>
    <xf numFmtId="166" fontId="34" fillId="0" borderId="0" xfId="0" applyNumberFormat="1" applyFont="1"/>
    <xf numFmtId="4" fontId="0" fillId="0" borderId="0" xfId="0" applyNumberFormat="1"/>
    <xf numFmtId="6" fontId="0" fillId="0" borderId="0" xfId="0" applyNumberFormat="1"/>
    <xf numFmtId="6" fontId="11" fillId="18" borderId="86" xfId="0" applyNumberFormat="1" applyFont="1" applyFill="1" applyBorder="1" applyAlignment="1" applyProtection="1">
      <alignment vertical="center"/>
      <protection locked="0"/>
    </xf>
    <xf numFmtId="165" fontId="0" fillId="0" borderId="172" xfId="0" applyNumberFormat="1" applyBorder="1"/>
    <xf numFmtId="6" fontId="0" fillId="0" borderId="173" xfId="0" applyNumberFormat="1" applyBorder="1"/>
    <xf numFmtId="0" fontId="0" fillId="0" borderId="174" xfId="0" applyBorder="1"/>
    <xf numFmtId="0" fontId="0" fillId="0" borderId="175" xfId="0" applyBorder="1"/>
    <xf numFmtId="165" fontId="0" fillId="0" borderId="176" xfId="2" applyNumberFormat="1" applyFont="1" applyBorder="1"/>
    <xf numFmtId="6" fontId="0" fillId="0" borderId="177" xfId="0" applyNumberFormat="1" applyBorder="1"/>
    <xf numFmtId="165" fontId="0" fillId="0" borderId="178" xfId="0" applyNumberFormat="1" applyBorder="1"/>
    <xf numFmtId="6" fontId="0" fillId="0" borderId="179" xfId="0" applyNumberFormat="1" applyBorder="1"/>
    <xf numFmtId="0" fontId="0" fillId="0" borderId="0" xfId="0" applyAlignment="1">
      <alignment wrapText="1"/>
    </xf>
    <xf numFmtId="165" fontId="30" fillId="0" borderId="171" xfId="3" applyNumberFormat="1" applyFont="1" applyBorder="1"/>
    <xf numFmtId="165" fontId="31" fillId="0" borderId="169" xfId="3" applyNumberFormat="1" applyFont="1" applyBorder="1"/>
    <xf numFmtId="165" fontId="31" fillId="0" borderId="0" xfId="0" applyNumberFormat="1" applyFont="1"/>
    <xf numFmtId="165" fontId="31" fillId="0" borderId="0" xfId="2" applyNumberFormat="1" applyFont="1" applyBorder="1"/>
    <xf numFmtId="0" fontId="32" fillId="0" borderId="170" xfId="0" applyFont="1" applyBorder="1" applyAlignment="1">
      <alignment horizontal="center" wrapText="1"/>
    </xf>
    <xf numFmtId="0" fontId="33" fillId="0" borderId="0" xfId="0" applyFont="1" applyAlignment="1">
      <alignment horizontal="left" wrapText="1"/>
    </xf>
    <xf numFmtId="166" fontId="34" fillId="0" borderId="0" xfId="0" applyNumberFormat="1" applyFont="1" applyAlignment="1">
      <alignment wrapText="1"/>
    </xf>
    <xf numFmtId="166" fontId="34" fillId="0" borderId="0" xfId="0" applyNumberFormat="1" applyFont="1" applyAlignment="1">
      <alignment horizontal="right" wrapText="1"/>
    </xf>
    <xf numFmtId="167" fontId="33" fillId="0" borderId="169" xfId="0" applyNumberFormat="1" applyFont="1" applyBorder="1" applyAlignment="1">
      <alignment horizontal="right" wrapText="1"/>
    </xf>
    <xf numFmtId="41" fontId="0" fillId="0" borderId="0" xfId="0" applyNumberFormat="1"/>
    <xf numFmtId="168" fontId="0" fillId="0" borderId="0" xfId="0" applyNumberFormat="1"/>
    <xf numFmtId="165" fontId="30" fillId="0" borderId="0" xfId="3" applyNumberFormat="1" applyFont="1"/>
    <xf numFmtId="165" fontId="0" fillId="16" borderId="0" xfId="2" applyNumberFormat="1" applyFont="1" applyFill="1"/>
    <xf numFmtId="0" fontId="0" fillId="16" borderId="0" xfId="0" applyFill="1"/>
    <xf numFmtId="0" fontId="36" fillId="19" borderId="0" xfId="4" applyFont="1" applyFill="1" applyAlignment="1">
      <alignment horizontal="center"/>
    </xf>
    <xf numFmtId="0" fontId="37" fillId="0" borderId="183" xfId="0" applyFont="1" applyBorder="1"/>
    <xf numFmtId="0" fontId="39" fillId="0" borderId="184" xfId="0" applyFont="1" applyBorder="1"/>
    <xf numFmtId="0" fontId="41" fillId="0" borderId="190" xfId="0" applyFont="1" applyBorder="1" applyAlignment="1">
      <alignment horizontal="center"/>
    </xf>
    <xf numFmtId="0" fontId="41" fillId="0" borderId="191" xfId="0" applyFont="1" applyBorder="1" applyAlignment="1">
      <alignment horizontal="center"/>
    </xf>
    <xf numFmtId="0" fontId="41" fillId="0" borderId="192" xfId="0" quotePrefix="1" applyFont="1" applyBorder="1" applyAlignment="1">
      <alignment horizontal="center"/>
    </xf>
    <xf numFmtId="0" fontId="40" fillId="0" borderId="0" xfId="4" applyFont="1" applyAlignment="1">
      <alignment horizontal="center" wrapText="1"/>
    </xf>
    <xf numFmtId="0" fontId="41" fillId="23" borderId="199" xfId="0" applyFont="1" applyFill="1" applyBorder="1" applyAlignment="1">
      <alignment horizontal="center"/>
    </xf>
    <xf numFmtId="0" fontId="40" fillId="0" borderId="0" xfId="4" applyFont="1" applyAlignment="1">
      <alignment wrapText="1"/>
    </xf>
    <xf numFmtId="0" fontId="42" fillId="0" borderId="200" xfId="0" quotePrefix="1" applyFont="1" applyBorder="1" applyAlignment="1">
      <alignment horizontal="center"/>
    </xf>
    <xf numFmtId="0" fontId="41" fillId="0" borderId="199" xfId="0" applyFont="1" applyBorder="1" applyAlignment="1">
      <alignment horizontal="center"/>
    </xf>
    <xf numFmtId="0" fontId="41" fillId="0" borderId="200" xfId="0" quotePrefix="1" applyFont="1" applyBorder="1" applyAlignment="1">
      <alignment horizontal="center"/>
    </xf>
    <xf numFmtId="0" fontId="41" fillId="10" borderId="199" xfId="0" applyFont="1" applyFill="1" applyBorder="1" applyAlignment="1">
      <alignment horizontal="center"/>
    </xf>
    <xf numFmtId="165" fontId="35" fillId="0" borderId="0" xfId="2" applyNumberFormat="1" applyFont="1" applyBorder="1"/>
    <xf numFmtId="9" fontId="35" fillId="0" borderId="0" xfId="1" applyFont="1" applyBorder="1"/>
    <xf numFmtId="0" fontId="35" fillId="0" borderId="0" xfId="4"/>
    <xf numFmtId="165" fontId="35" fillId="0" borderId="0" xfId="4" applyNumberFormat="1"/>
    <xf numFmtId="165" fontId="35" fillId="0" borderId="175" xfId="4" applyNumberFormat="1" applyBorder="1"/>
    <xf numFmtId="0" fontId="5" fillId="0" borderId="103" xfId="5" applyFont="1" applyBorder="1" applyAlignment="1">
      <alignment horizontal="center"/>
    </xf>
    <xf numFmtId="0" fontId="35" fillId="0" borderId="174" xfId="4" applyBorder="1"/>
    <xf numFmtId="165" fontId="35" fillId="24" borderId="0" xfId="4" applyNumberFormat="1" applyFill="1"/>
    <xf numFmtId="0" fontId="35" fillId="0" borderId="176" xfId="4" applyBorder="1"/>
    <xf numFmtId="0" fontId="35" fillId="0" borderId="201" xfId="4" applyBorder="1"/>
    <xf numFmtId="0" fontId="43" fillId="0" borderId="201" xfId="4" applyFont="1" applyBorder="1"/>
    <xf numFmtId="165" fontId="43" fillId="0" borderId="201" xfId="4" applyNumberFormat="1" applyFont="1" applyBorder="1"/>
    <xf numFmtId="0" fontId="43" fillId="0" borderId="177" xfId="4" applyFont="1" applyBorder="1"/>
    <xf numFmtId="0" fontId="0" fillId="0" borderId="172" xfId="0" applyBorder="1"/>
    <xf numFmtId="6" fontId="0" fillId="0" borderId="185" xfId="0" applyNumberFormat="1" applyBorder="1"/>
    <xf numFmtId="0" fontId="0" fillId="0" borderId="173" xfId="0" applyBorder="1"/>
    <xf numFmtId="0" fontId="44" fillId="24" borderId="174" xfId="4" applyFont="1" applyFill="1" applyBorder="1"/>
    <xf numFmtId="0" fontId="44" fillId="24" borderId="176" xfId="4" applyFont="1" applyFill="1" applyBorder="1"/>
    <xf numFmtId="6" fontId="0" fillId="0" borderId="201" xfId="0" applyNumberFormat="1" applyBorder="1"/>
    <xf numFmtId="0" fontId="0" fillId="0" borderId="177" xfId="0" applyBorder="1"/>
    <xf numFmtId="0" fontId="5" fillId="0" borderId="0" xfId="5" applyFont="1"/>
    <xf numFmtId="0" fontId="45" fillId="0" borderId="0" xfId="5" applyFont="1"/>
    <xf numFmtId="0" fontId="30" fillId="0" borderId="0" xfId="5" applyFont="1"/>
    <xf numFmtId="0" fontId="46" fillId="0" borderId="0" xfId="5" applyFont="1" applyAlignment="1">
      <alignment horizontal="centerContinuous"/>
    </xf>
    <xf numFmtId="0" fontId="5" fillId="0" borderId="0" xfId="5" applyFont="1" applyAlignment="1">
      <alignment horizontal="centerContinuous"/>
    </xf>
    <xf numFmtId="0" fontId="6" fillId="0" borderId="0" xfId="5" applyFont="1" applyAlignment="1">
      <alignment horizontal="centerContinuous"/>
    </xf>
    <xf numFmtId="0" fontId="11" fillId="0" borderId="0" xfId="5" applyFont="1"/>
    <xf numFmtId="0" fontId="7" fillId="0" borderId="1" xfId="5" applyFont="1" applyBorder="1" applyAlignment="1">
      <alignment horizontal="centerContinuous"/>
    </xf>
    <xf numFmtId="0" fontId="7" fillId="0" borderId="3" xfId="5" applyFont="1" applyBorder="1" applyAlignment="1">
      <alignment horizontal="centerContinuous"/>
    </xf>
    <xf numFmtId="0" fontId="5" fillId="0" borderId="93" xfId="5" applyFont="1" applyBorder="1" applyAlignment="1">
      <alignment horizontal="centerContinuous"/>
    </xf>
    <xf numFmtId="0" fontId="7" fillId="0" borderId="4" xfId="5" applyFont="1" applyBorder="1" applyAlignment="1">
      <alignment horizontal="centerContinuous"/>
    </xf>
    <xf numFmtId="0" fontId="7" fillId="0" borderId="94" xfId="5" applyFont="1" applyBorder="1" applyAlignment="1">
      <alignment horizontal="centerContinuous"/>
    </xf>
    <xf numFmtId="0" fontId="5" fillId="0" borderId="90" xfId="5" applyFont="1" applyBorder="1" applyAlignment="1">
      <alignment horizontal="centerContinuous"/>
    </xf>
    <xf numFmtId="0" fontId="5" fillId="0" borderId="1" xfId="5" applyFont="1" applyBorder="1"/>
    <xf numFmtId="0" fontId="5" fillId="0" borderId="3" xfId="5" applyFont="1" applyBorder="1"/>
    <xf numFmtId="0" fontId="5" fillId="0" borderId="93" xfId="5" applyFont="1" applyBorder="1"/>
    <xf numFmtId="0" fontId="5" fillId="0" borderId="2" xfId="5" applyFont="1" applyBorder="1"/>
    <xf numFmtId="0" fontId="5" fillId="0" borderId="58" xfId="5" applyFont="1" applyBorder="1"/>
    <xf numFmtId="0" fontId="8" fillId="0" borderId="0" xfId="5" applyFont="1" applyAlignment="1">
      <alignment horizontal="centerContinuous"/>
    </xf>
    <xf numFmtId="0" fontId="5" fillId="0" borderId="58" xfId="5" applyFont="1" applyBorder="1" applyAlignment="1">
      <alignment horizontal="centerContinuous"/>
    </xf>
    <xf numFmtId="0" fontId="8" fillId="0" borderId="2" xfId="5" applyFont="1" applyBorder="1" applyAlignment="1">
      <alignment horizontal="centerContinuous"/>
    </xf>
    <xf numFmtId="7" fontId="8" fillId="0" borderId="58" xfId="5" applyNumberFormat="1" applyFont="1" applyBorder="1" applyAlignment="1">
      <alignment horizontal="centerContinuous"/>
    </xf>
    <xf numFmtId="0" fontId="5" fillId="0" borderId="4" xfId="5" applyFont="1" applyBorder="1"/>
    <xf numFmtId="0" fontId="5" fillId="0" borderId="94" xfId="5" applyFont="1" applyBorder="1"/>
    <xf numFmtId="0" fontId="5" fillId="0" borderId="90" xfId="5" applyFont="1" applyBorder="1"/>
    <xf numFmtId="0" fontId="7" fillId="0" borderId="202" xfId="5" applyFont="1" applyBorder="1" applyAlignment="1">
      <alignment horizontal="center"/>
    </xf>
    <xf numFmtId="0" fontId="7" fillId="0" borderId="89" xfId="5" applyFont="1" applyBorder="1" applyAlignment="1">
      <alignment horizontal="center"/>
    </xf>
    <xf numFmtId="0" fontId="47" fillId="0" borderId="203" xfId="5" applyFont="1" applyBorder="1" applyAlignment="1">
      <alignment horizontal="center"/>
    </xf>
    <xf numFmtId="0" fontId="7" fillId="0" borderId="58" xfId="5" applyFont="1" applyBorder="1" applyAlignment="1">
      <alignment horizontal="center"/>
    </xf>
    <xf numFmtId="0" fontId="7" fillId="0" borderId="204" xfId="5" applyFont="1" applyBorder="1" applyAlignment="1">
      <alignment horizontal="center"/>
    </xf>
    <xf numFmtId="0" fontId="7" fillId="0" borderId="90" xfId="5" applyFont="1" applyBorder="1" applyAlignment="1">
      <alignment horizontal="center"/>
    </xf>
    <xf numFmtId="0" fontId="18" fillId="0" borderId="2" xfId="5" applyFont="1" applyBorder="1" applyAlignment="1">
      <alignment horizontal="centerContinuous"/>
    </xf>
    <xf numFmtId="0" fontId="5" fillId="0" borderId="203" xfId="5" applyFont="1" applyBorder="1"/>
    <xf numFmtId="37" fontId="5" fillId="0" borderId="58" xfId="5" applyNumberFormat="1" applyFont="1" applyBorder="1"/>
    <xf numFmtId="0" fontId="8" fillId="0" borderId="0" xfId="5" applyFont="1"/>
    <xf numFmtId="0" fontId="5" fillId="0" borderId="205" xfId="5" applyFont="1" applyBorder="1" applyAlignment="1">
      <alignment horizontal="center"/>
    </xf>
    <xf numFmtId="6" fontId="48" fillId="0" borderId="103" xfId="5" applyNumberFormat="1" applyFont="1" applyBorder="1" applyProtection="1">
      <protection locked="0"/>
    </xf>
    <xf numFmtId="6" fontId="48" fillId="6" borderId="103" xfId="5" applyNumberFormat="1" applyFont="1" applyFill="1" applyBorder="1"/>
    <xf numFmtId="0" fontId="5" fillId="0" borderId="103" xfId="5" quotePrefix="1" applyFont="1" applyBorder="1" applyAlignment="1">
      <alignment horizontal="center"/>
    </xf>
    <xf numFmtId="0" fontId="5" fillId="0" borderId="203" xfId="5" applyFont="1" applyBorder="1" applyAlignment="1">
      <alignment horizontal="center"/>
    </xf>
    <xf numFmtId="0" fontId="5" fillId="0" borderId="58" xfId="5" applyFont="1" applyBorder="1" applyAlignment="1">
      <alignment horizontal="center"/>
    </xf>
    <xf numFmtId="0" fontId="5" fillId="0" borderId="206" xfId="5" applyFont="1" applyBorder="1"/>
    <xf numFmtId="0" fontId="5" fillId="0" borderId="207" xfId="5" applyFont="1" applyBorder="1"/>
    <xf numFmtId="0" fontId="8" fillId="0" borderId="207" xfId="5" applyFont="1" applyBorder="1"/>
    <xf numFmtId="0" fontId="5" fillId="0" borderId="208" xfId="5" applyFont="1" applyBorder="1"/>
    <xf numFmtId="0" fontId="5" fillId="0" borderId="209" xfId="5" applyFont="1" applyBorder="1"/>
    <xf numFmtId="0" fontId="8" fillId="25" borderId="208" xfId="5" applyFont="1" applyFill="1" applyBorder="1" applyAlignment="1">
      <alignment horizontal="center"/>
    </xf>
    <xf numFmtId="6" fontId="8" fillId="25" borderId="208" xfId="5" applyNumberFormat="1" applyFont="1" applyFill="1" applyBorder="1"/>
    <xf numFmtId="0" fontId="5" fillId="0" borderId="205" xfId="5" applyFont="1" applyBorder="1"/>
    <xf numFmtId="0" fontId="5" fillId="0" borderId="103" xfId="5" applyFont="1" applyBorder="1"/>
    <xf numFmtId="6" fontId="5" fillId="0" borderId="103" xfId="5" applyNumberFormat="1" applyFont="1" applyBorder="1"/>
    <xf numFmtId="6" fontId="48" fillId="0" borderId="103" xfId="5" applyNumberFormat="1" applyFont="1" applyBorder="1"/>
    <xf numFmtId="0" fontId="5" fillId="25" borderId="210" xfId="5" applyFont="1" applyFill="1" applyBorder="1"/>
    <xf numFmtId="0" fontId="8" fillId="25" borderId="211" xfId="5" applyFont="1" applyFill="1" applyBorder="1"/>
    <xf numFmtId="0" fontId="5" fillId="25" borderId="211" xfId="5" applyFont="1" applyFill="1" applyBorder="1"/>
    <xf numFmtId="0" fontId="5" fillId="25" borderId="212" xfId="5" applyFont="1" applyFill="1" applyBorder="1"/>
    <xf numFmtId="0" fontId="5" fillId="25" borderId="213" xfId="5" applyFont="1" applyFill="1" applyBorder="1"/>
    <xf numFmtId="0" fontId="8" fillId="25" borderId="212" xfId="5" applyFont="1" applyFill="1" applyBorder="1" applyAlignment="1">
      <alignment horizontal="center"/>
    </xf>
    <xf numFmtId="6" fontId="8" fillId="25" borderId="212" xfId="5" applyNumberFormat="1" applyFont="1" applyFill="1" applyBorder="1"/>
    <xf numFmtId="6" fontId="5" fillId="0" borderId="58" xfId="5" applyNumberFormat="1" applyFont="1" applyBorder="1"/>
    <xf numFmtId="0" fontId="49" fillId="0" borderId="0" xfId="5" applyFont="1"/>
    <xf numFmtId="0" fontId="8" fillId="0" borderId="58" xfId="5" applyFont="1" applyBorder="1"/>
    <xf numFmtId="6" fontId="4" fillId="0" borderId="58" xfId="5" applyNumberFormat="1" applyFont="1" applyBorder="1"/>
    <xf numFmtId="0" fontId="8" fillId="0" borderId="208" xfId="5" applyFont="1" applyBorder="1"/>
    <xf numFmtId="0" fontId="5" fillId="0" borderId="58" xfId="5" quotePrefix="1" applyFont="1" applyBorder="1" applyAlignment="1">
      <alignment horizontal="center"/>
    </xf>
    <xf numFmtId="0" fontId="13" fillId="0" borderId="0" xfId="5" applyFont="1" applyAlignment="1">
      <alignment horizontal="centerContinuous"/>
    </xf>
    <xf numFmtId="0" fontId="13" fillId="0" borderId="58" xfId="5" applyFont="1" applyBorder="1" applyAlignment="1">
      <alignment horizontal="centerContinuous"/>
    </xf>
    <xf numFmtId="6" fontId="48" fillId="0" borderId="58" xfId="5" applyNumberFormat="1" applyFont="1" applyBorder="1"/>
    <xf numFmtId="0" fontId="30" fillId="0" borderId="205" xfId="5" applyFont="1" applyBorder="1" applyAlignment="1">
      <alignment horizontal="center"/>
    </xf>
    <xf numFmtId="0" fontId="8" fillId="25" borderId="103" xfId="5" applyFont="1" applyFill="1" applyBorder="1" applyAlignment="1">
      <alignment horizontal="center"/>
    </xf>
    <xf numFmtId="6" fontId="8" fillId="25" borderId="103" xfId="5" applyNumberFormat="1" applyFont="1" applyFill="1" applyBorder="1"/>
    <xf numFmtId="0" fontId="5" fillId="0" borderId="204" xfId="5" applyFont="1" applyBorder="1"/>
    <xf numFmtId="6" fontId="5" fillId="0" borderId="90" xfId="5" applyNumberFormat="1" applyFont="1" applyBorder="1"/>
    <xf numFmtId="0" fontId="7" fillId="0" borderId="0" xfId="5" applyFont="1"/>
    <xf numFmtId="0" fontId="59" fillId="18" borderId="0" xfId="8" applyFont="1" applyFill="1"/>
    <xf numFmtId="165" fontId="0" fillId="18" borderId="0" xfId="2" applyNumberFormat="1" applyFont="1" applyFill="1"/>
    <xf numFmtId="0" fontId="78" fillId="0" borderId="170" xfId="0" applyFont="1" applyBorder="1" applyAlignment="1">
      <alignment horizontal="center" wrapText="1"/>
    </xf>
    <xf numFmtId="0" fontId="79" fillId="0" borderId="0" xfId="0" applyFont="1" applyAlignment="1">
      <alignment horizontal="left" wrapText="1"/>
    </xf>
    <xf numFmtId="166" fontId="80" fillId="0" borderId="0" xfId="0" applyNumberFormat="1" applyFont="1" applyAlignment="1">
      <alignment wrapText="1"/>
    </xf>
    <xf numFmtId="166" fontId="80" fillId="0" borderId="0" xfId="0" applyNumberFormat="1" applyFont="1" applyAlignment="1">
      <alignment horizontal="right" wrapText="1"/>
    </xf>
    <xf numFmtId="167" fontId="79" fillId="0" borderId="214" xfId="0" applyNumberFormat="1" applyFont="1" applyBorder="1" applyAlignment="1">
      <alignment horizontal="right" wrapText="1"/>
    </xf>
    <xf numFmtId="166" fontId="80" fillId="18" borderId="0" xfId="0" applyNumberFormat="1" applyFont="1" applyFill="1" applyAlignment="1">
      <alignment wrapText="1"/>
    </xf>
    <xf numFmtId="166" fontId="80" fillId="18" borderId="0" xfId="0" applyNumberFormat="1" applyFont="1" applyFill="1" applyAlignment="1">
      <alignment horizontal="right" wrapText="1"/>
    </xf>
    <xf numFmtId="0" fontId="59" fillId="18" borderId="0" xfId="8" applyFont="1" applyFill="1" applyAlignment="1">
      <alignment wrapText="1"/>
    </xf>
    <xf numFmtId="0" fontId="76" fillId="0" borderId="0" xfId="0" applyFont="1"/>
    <xf numFmtId="0" fontId="77" fillId="0" borderId="0" xfId="0" applyFont="1"/>
    <xf numFmtId="165" fontId="35" fillId="0" borderId="174" xfId="4" applyNumberFormat="1" applyBorder="1"/>
    <xf numFmtId="0" fontId="43" fillId="0" borderId="176" xfId="4" applyFont="1" applyBorder="1"/>
    <xf numFmtId="49" fontId="54" fillId="0" borderId="194" xfId="10" applyNumberFormat="1" applyFont="1" applyBorder="1" applyAlignment="1">
      <alignment horizontal="center" vertical="center" wrapText="1"/>
    </xf>
    <xf numFmtId="0" fontId="53" fillId="0" borderId="194" xfId="10" applyFont="1" applyBorder="1" applyAlignment="1">
      <alignment horizontal="center" vertical="center" wrapText="1"/>
    </xf>
    <xf numFmtId="0" fontId="55" fillId="0" borderId="194" xfId="10" applyFont="1" applyBorder="1" applyAlignment="1">
      <alignment horizontal="center" vertical="center" wrapText="1"/>
    </xf>
    <xf numFmtId="0" fontId="54" fillId="0" borderId="194" xfId="10" applyFont="1" applyBorder="1" applyAlignment="1">
      <alignment horizontal="center" vertical="center" wrapText="1"/>
    </xf>
    <xf numFmtId="0" fontId="40" fillId="0" borderId="175" xfId="4" applyFont="1" applyBorder="1" applyAlignment="1">
      <alignment wrapText="1"/>
    </xf>
    <xf numFmtId="0" fontId="40" fillId="0" borderId="174" xfId="4" applyFont="1" applyBorder="1" applyAlignment="1">
      <alignment wrapText="1"/>
    </xf>
    <xf numFmtId="165" fontId="35" fillId="0" borderId="174" xfId="2" applyNumberFormat="1" applyFont="1" applyBorder="1"/>
    <xf numFmtId="0" fontId="40" fillId="0" borderId="0" xfId="4" applyFont="1"/>
    <xf numFmtId="0" fontId="40" fillId="0" borderId="174" xfId="4" applyFont="1" applyBorder="1"/>
    <xf numFmtId="165" fontId="35" fillId="31" borderId="174" xfId="4" applyNumberFormat="1" applyFill="1" applyBorder="1"/>
    <xf numFmtId="165" fontId="35" fillId="31" borderId="0" xfId="2" applyNumberFormat="1" applyFont="1" applyFill="1" applyBorder="1"/>
    <xf numFmtId="0" fontId="56" fillId="0" borderId="216" xfId="0" applyFont="1" applyBorder="1" applyAlignment="1">
      <alignment vertical="top"/>
    </xf>
    <xf numFmtId="0" fontId="56" fillId="0" borderId="0" xfId="10" applyFont="1" applyAlignment="1">
      <alignment vertical="top"/>
    </xf>
    <xf numFmtId="0" fontId="58" fillId="0" borderId="0" xfId="10" applyFont="1" applyAlignment="1">
      <alignment vertical="top"/>
    </xf>
    <xf numFmtId="0" fontId="2" fillId="0" borderId="0" xfId="10" applyAlignment="1">
      <alignment vertical="top"/>
    </xf>
    <xf numFmtId="0" fontId="57" fillId="0" borderId="0" xfId="10" applyFont="1" applyAlignment="1">
      <alignment vertical="top"/>
    </xf>
    <xf numFmtId="0" fontId="55" fillId="0" borderId="0" xfId="10" applyFont="1" applyAlignment="1">
      <alignment vertical="top"/>
    </xf>
    <xf numFmtId="0" fontId="53" fillId="0" borderId="0" xfId="10" applyFont="1" applyAlignment="1">
      <alignment vertical="top"/>
    </xf>
    <xf numFmtId="0" fontId="56" fillId="0" borderId="194" xfId="10" applyFont="1" applyBorder="1" applyAlignment="1">
      <alignment vertical="top"/>
    </xf>
    <xf numFmtId="0" fontId="57" fillId="0" borderId="205" xfId="10" applyFont="1" applyBorder="1" applyAlignment="1">
      <alignment horizontal="center"/>
    </xf>
    <xf numFmtId="0" fontId="57" fillId="0" borderId="194" xfId="10" applyFont="1" applyBorder="1" applyAlignment="1">
      <alignment vertical="top"/>
    </xf>
    <xf numFmtId="0" fontId="57" fillId="0" borderId="194" xfId="10" applyFont="1" applyBorder="1" applyAlignment="1">
      <alignment horizontal="center"/>
    </xf>
    <xf numFmtId="0" fontId="57" fillId="0" borderId="203" xfId="10" applyFont="1" applyBorder="1" applyAlignment="1">
      <alignment horizontal="center"/>
    </xf>
    <xf numFmtId="0" fontId="57" fillId="0" borderId="194" xfId="10" applyFont="1" applyBorder="1" applyAlignment="1">
      <alignment horizontal="center" vertical="top"/>
    </xf>
    <xf numFmtId="0" fontId="56" fillId="0" borderId="216" xfId="10" applyFont="1" applyBorder="1" applyAlignment="1">
      <alignment vertical="top"/>
    </xf>
    <xf numFmtId="0" fontId="57" fillId="0" borderId="216" xfId="10" applyFont="1" applyBorder="1" applyAlignment="1">
      <alignment horizontal="center" vertical="top"/>
    </xf>
    <xf numFmtId="0" fontId="57" fillId="0" borderId="216" xfId="10" applyFont="1" applyBorder="1" applyAlignment="1">
      <alignment vertical="top"/>
    </xf>
    <xf numFmtId="14" fontId="56" fillId="0" borderId="215" xfId="10" applyNumberFormat="1" applyFont="1" applyBorder="1" applyAlignment="1">
      <alignment vertical="top"/>
    </xf>
    <xf numFmtId="6" fontId="56" fillId="0" borderId="216" xfId="10" applyNumberFormat="1" applyFont="1" applyBorder="1" applyAlignment="1">
      <alignment vertical="top"/>
    </xf>
    <xf numFmtId="0" fontId="56" fillId="0" borderId="0" xfId="10" applyFont="1"/>
    <xf numFmtId="1" fontId="1" fillId="0" borderId="0" xfId="0" applyNumberFormat="1" applyFont="1"/>
    <xf numFmtId="0" fontId="65" fillId="0" borderId="218" xfId="0" applyFont="1" applyBorder="1"/>
    <xf numFmtId="0" fontId="65" fillId="0" borderId="219" xfId="0" applyFont="1" applyBorder="1"/>
    <xf numFmtId="0" fontId="66" fillId="0" borderId="219" xfId="0" applyFont="1" applyBorder="1"/>
    <xf numFmtId="0" fontId="66" fillId="0" borderId="220" xfId="0" applyFont="1" applyBorder="1"/>
    <xf numFmtId="0" fontId="50" fillId="0" borderId="221" xfId="0" applyFont="1" applyBorder="1"/>
    <xf numFmtId="0" fontId="50" fillId="0" borderId="219" xfId="0" applyFont="1" applyBorder="1"/>
    <xf numFmtId="0" fontId="50" fillId="0" borderId="220" xfId="0" applyFont="1" applyBorder="1"/>
    <xf numFmtId="0" fontId="1" fillId="0" borderId="0" xfId="0" applyFont="1"/>
    <xf numFmtId="0" fontId="1" fillId="27" borderId="0" xfId="0" applyFont="1" applyFill="1"/>
    <xf numFmtId="0" fontId="1" fillId="26" borderId="0" xfId="0" applyFont="1" applyFill="1"/>
    <xf numFmtId="1" fontId="62" fillId="28" borderId="221" xfId="0" applyNumberFormat="1" applyFont="1" applyFill="1" applyBorder="1"/>
    <xf numFmtId="0" fontId="67" fillId="0" borderId="0" xfId="0" applyFont="1"/>
    <xf numFmtId="0" fontId="68" fillId="0" borderId="0" xfId="0" applyFont="1"/>
    <xf numFmtId="0" fontId="69" fillId="0" borderId="0" xfId="0" applyFont="1"/>
    <xf numFmtId="0" fontId="41" fillId="0" borderId="221" xfId="0" applyFont="1" applyBorder="1"/>
    <xf numFmtId="0" fontId="67" fillId="0" borderId="221" xfId="0" applyFont="1" applyBorder="1"/>
    <xf numFmtId="0" fontId="66" fillId="0" borderId="0" xfId="0" applyFont="1"/>
    <xf numFmtId="0" fontId="67" fillId="0" borderId="0" xfId="0" applyFont="1" applyAlignment="1">
      <alignment horizontal="right"/>
    </xf>
    <xf numFmtId="1" fontId="66" fillId="28" borderId="221" xfId="0" applyNumberFormat="1" applyFont="1" applyFill="1" applyBorder="1" applyAlignment="1">
      <alignment horizontal="right"/>
    </xf>
    <xf numFmtId="0" fontId="41" fillId="0" borderId="222" xfId="0" applyFont="1" applyBorder="1" applyAlignment="1">
      <alignment horizontal="right"/>
    </xf>
    <xf numFmtId="0" fontId="67" fillId="0" borderId="223" xfId="0" applyFont="1" applyBorder="1"/>
    <xf numFmtId="0" fontId="67" fillId="0" borderId="222" xfId="0" applyFont="1" applyBorder="1" applyAlignment="1">
      <alignment horizontal="right"/>
    </xf>
    <xf numFmtId="0" fontId="41" fillId="0" borderId="221" xfId="0" applyFont="1" applyBorder="1" applyAlignment="1">
      <alignment horizontal="right"/>
    </xf>
    <xf numFmtId="0" fontId="67" fillId="0" borderId="221" xfId="0" applyFont="1" applyBorder="1" applyAlignment="1">
      <alignment horizontal="right"/>
    </xf>
    <xf numFmtId="1" fontId="50" fillId="28" borderId="221" xfId="0" applyNumberFormat="1" applyFont="1" applyFill="1" applyBorder="1" applyAlignment="1">
      <alignment horizontal="right"/>
    </xf>
    <xf numFmtId="0" fontId="67" fillId="0" borderId="222" xfId="0" applyFont="1" applyBorder="1"/>
    <xf numFmtId="0" fontId="67" fillId="26" borderId="0" xfId="0" applyFont="1" applyFill="1"/>
    <xf numFmtId="0" fontId="67" fillId="26" borderId="221" xfId="0" applyFont="1" applyFill="1" applyBorder="1"/>
    <xf numFmtId="0" fontId="41" fillId="26" borderId="222" xfId="0" applyFont="1" applyFill="1" applyBorder="1" applyAlignment="1">
      <alignment horizontal="right"/>
    </xf>
    <xf numFmtId="0" fontId="67" fillId="26" borderId="223" xfId="0" applyFont="1" applyFill="1" applyBorder="1"/>
    <xf numFmtId="0" fontId="67" fillId="26" borderId="222" xfId="0" applyFont="1" applyFill="1" applyBorder="1" applyAlignment="1">
      <alignment horizontal="right"/>
    </xf>
    <xf numFmtId="1" fontId="50" fillId="29" borderId="221" xfId="0" applyNumberFormat="1" applyFont="1" applyFill="1" applyBorder="1" applyAlignment="1">
      <alignment horizontal="right"/>
    </xf>
    <xf numFmtId="0" fontId="67" fillId="29" borderId="0" xfId="0" applyFont="1" applyFill="1"/>
    <xf numFmtId="0" fontId="41" fillId="29" borderId="221" xfId="0" applyFont="1" applyFill="1" applyBorder="1"/>
    <xf numFmtId="0" fontId="1" fillId="29" borderId="0" xfId="0" applyFont="1" applyFill="1"/>
    <xf numFmtId="0" fontId="67" fillId="29" borderId="223" xfId="0" applyFont="1" applyFill="1" applyBorder="1"/>
    <xf numFmtId="0" fontId="67" fillId="29" borderId="222" xfId="0" applyFont="1" applyFill="1" applyBorder="1" applyAlignment="1">
      <alignment horizontal="right"/>
    </xf>
    <xf numFmtId="0" fontId="41" fillId="29" borderId="221" xfId="0" applyFont="1" applyFill="1" applyBorder="1" applyAlignment="1">
      <alignment horizontal="right"/>
    </xf>
    <xf numFmtId="1" fontId="62" fillId="29" borderId="221" xfId="0" applyNumberFormat="1" applyFont="1" applyFill="1" applyBorder="1"/>
    <xf numFmtId="0" fontId="66" fillId="29" borderId="0" xfId="0" applyFont="1" applyFill="1"/>
    <xf numFmtId="0" fontId="50" fillId="29" borderId="221" xfId="0" applyFont="1" applyFill="1" applyBorder="1"/>
    <xf numFmtId="0" fontId="67" fillId="29" borderId="221" xfId="0" applyFont="1" applyFill="1" applyBorder="1" applyAlignment="1">
      <alignment horizontal="right"/>
    </xf>
    <xf numFmtId="0" fontId="66" fillId="0" borderId="221" xfId="0" applyFont="1" applyBorder="1"/>
    <xf numFmtId="0" fontId="50" fillId="0" borderId="221" xfId="0" applyFont="1" applyBorder="1" applyAlignment="1">
      <alignment horizontal="right"/>
    </xf>
    <xf numFmtId="0" fontId="50" fillId="0" borderId="226" xfId="0" applyFont="1" applyBorder="1" applyAlignment="1">
      <alignment horizontal="right"/>
    </xf>
    <xf numFmtId="0" fontId="66" fillId="0" borderId="225" xfId="0" applyFont="1" applyBorder="1"/>
    <xf numFmtId="0" fontId="66" fillId="0" borderId="226" xfId="0" applyFont="1" applyBorder="1"/>
    <xf numFmtId="1" fontId="66" fillId="29" borderId="221" xfId="0" applyNumberFormat="1" applyFont="1" applyFill="1" applyBorder="1" applyAlignment="1">
      <alignment horizontal="right"/>
    </xf>
    <xf numFmtId="0" fontId="50" fillId="0" borderId="220" xfId="0" applyFont="1" applyBorder="1" applyAlignment="1">
      <alignment horizontal="right"/>
    </xf>
    <xf numFmtId="0" fontId="67" fillId="0" borderId="223" xfId="0" applyFont="1" applyBorder="1" applyAlignment="1">
      <alignment horizontal="right"/>
    </xf>
    <xf numFmtId="0" fontId="51" fillId="0" borderId="0" xfId="0" applyFont="1"/>
    <xf numFmtId="0" fontId="41" fillId="0" borderId="223" xfId="0" applyFont="1" applyBorder="1" applyAlignment="1">
      <alignment horizontal="right"/>
    </xf>
    <xf numFmtId="0" fontId="41" fillId="0" borderId="227" xfId="0" applyFont="1" applyBorder="1" applyAlignment="1">
      <alignment horizontal="right"/>
    </xf>
    <xf numFmtId="0" fontId="67" fillId="0" borderId="228" xfId="0" applyFont="1" applyBorder="1" applyAlignment="1">
      <alignment horizontal="right"/>
    </xf>
    <xf numFmtId="0" fontId="67" fillId="0" borderId="227" xfId="0" applyFont="1" applyBorder="1" applyAlignment="1">
      <alignment horizontal="right"/>
    </xf>
    <xf numFmtId="0" fontId="67" fillId="0" borderId="219" xfId="0" applyFont="1" applyBorder="1"/>
    <xf numFmtId="0" fontId="63" fillId="0" borderId="229" xfId="0" applyFont="1" applyBorder="1"/>
    <xf numFmtId="0" fontId="63" fillId="0" borderId="230" xfId="0" applyFont="1" applyBorder="1"/>
    <xf numFmtId="0" fontId="66" fillId="0" borderId="223" xfId="0" applyFont="1" applyBorder="1"/>
    <xf numFmtId="0" fontId="41" fillId="0" borderId="0" xfId="0" applyFont="1"/>
    <xf numFmtId="0" fontId="50" fillId="0" borderId="0" xfId="0" applyFont="1"/>
    <xf numFmtId="0" fontId="41" fillId="0" borderId="231" xfId="0" applyFont="1" applyBorder="1"/>
    <xf numFmtId="0" fontId="70" fillId="0" borderId="0" xfId="0" applyFont="1"/>
    <xf numFmtId="0" fontId="72" fillId="0" borderId="219" xfId="0" applyFont="1" applyBorder="1"/>
    <xf numFmtId="0" fontId="73" fillId="0" borderId="221" xfId="0" applyFont="1" applyBorder="1"/>
    <xf numFmtId="0" fontId="73" fillId="0" borderId="221" xfId="0" applyFont="1" applyBorder="1" applyAlignment="1">
      <alignment horizontal="left"/>
    </xf>
    <xf numFmtId="0" fontId="51" fillId="26" borderId="0" xfId="0" applyFont="1" applyFill="1"/>
    <xf numFmtId="0" fontId="66" fillId="0" borderId="217" xfId="0" applyFont="1" applyBorder="1"/>
    <xf numFmtId="1" fontId="62" fillId="28" borderId="232" xfId="0" applyNumberFormat="1" applyFont="1" applyFill="1" applyBorder="1"/>
    <xf numFmtId="0" fontId="50" fillId="0" borderId="236" xfId="0" applyFont="1" applyBorder="1" applyAlignment="1">
      <alignment horizontal="right"/>
    </xf>
    <xf numFmtId="0" fontId="50" fillId="0" borderId="237" xfId="0" applyFont="1" applyBorder="1"/>
    <xf numFmtId="0" fontId="50" fillId="0" borderId="217" xfId="0" applyFont="1" applyBorder="1"/>
    <xf numFmtId="0" fontId="41" fillId="0" borderId="217" xfId="0" applyFont="1" applyBorder="1"/>
    <xf numFmtId="0" fontId="67" fillId="0" borderId="217" xfId="0" applyFont="1" applyBorder="1"/>
    <xf numFmtId="0" fontId="67" fillId="0" borderId="238" xfId="0" applyFont="1" applyBorder="1" applyAlignment="1">
      <alignment horizontal="right"/>
    </xf>
    <xf numFmtId="0" fontId="67" fillId="0" borderId="239" xfId="0" applyFont="1" applyBorder="1" applyAlignment="1">
      <alignment horizontal="right"/>
    </xf>
    <xf numFmtId="0" fontId="41" fillId="0" borderId="239" xfId="0" applyFont="1" applyBorder="1" applyAlignment="1">
      <alignment horizontal="right"/>
    </xf>
    <xf numFmtId="0" fontId="66" fillId="0" borderId="240" xfId="0" applyFont="1" applyBorder="1"/>
    <xf numFmtId="0" fontId="67" fillId="0" borderId="225" xfId="0" applyFont="1" applyBorder="1"/>
    <xf numFmtId="0" fontId="67" fillId="0" borderId="226" xfId="0" applyFont="1" applyBorder="1"/>
    <xf numFmtId="0" fontId="67" fillId="0" borderId="220" xfId="0" applyFont="1" applyBorder="1"/>
    <xf numFmtId="0" fontId="67" fillId="0" borderId="219" xfId="0" applyFont="1" applyBorder="1" applyAlignment="1">
      <alignment horizontal="right"/>
    </xf>
    <xf numFmtId="0" fontId="41" fillId="0" borderId="220" xfId="0" applyFont="1" applyBorder="1" applyAlignment="1">
      <alignment horizontal="right"/>
    </xf>
    <xf numFmtId="0" fontId="41" fillId="29" borderId="222" xfId="0" applyFont="1" applyFill="1" applyBorder="1" applyAlignment="1">
      <alignment horizontal="right"/>
    </xf>
    <xf numFmtId="0" fontId="67" fillId="29" borderId="223" xfId="0" applyFont="1" applyFill="1" applyBorder="1" applyAlignment="1">
      <alignment horizontal="right"/>
    </xf>
    <xf numFmtId="0" fontId="51" fillId="29" borderId="0" xfId="0" applyFont="1" applyFill="1"/>
    <xf numFmtId="0" fontId="41" fillId="29" borderId="223" xfId="0" applyFont="1" applyFill="1" applyBorder="1"/>
    <xf numFmtId="1" fontId="74" fillId="29" borderId="0" xfId="0" applyNumberFormat="1" applyFont="1" applyFill="1" applyAlignment="1">
      <alignment horizontal="left"/>
    </xf>
    <xf numFmtId="0" fontId="74" fillId="29" borderId="0" xfId="0" applyFont="1" applyFill="1" applyAlignment="1">
      <alignment horizontal="left"/>
    </xf>
    <xf numFmtId="0" fontId="41" fillId="29" borderId="0" xfId="0" applyFont="1" applyFill="1"/>
    <xf numFmtId="1" fontId="75" fillId="29" borderId="0" xfId="0" applyNumberFormat="1" applyFont="1" applyFill="1" applyAlignment="1">
      <alignment horizontal="left"/>
    </xf>
    <xf numFmtId="0" fontId="67" fillId="29" borderId="221" xfId="0" applyFont="1" applyFill="1" applyBorder="1"/>
    <xf numFmtId="0" fontId="67" fillId="29" borderId="0" xfId="0" applyFont="1" applyFill="1" applyAlignment="1">
      <alignment horizontal="right"/>
    </xf>
    <xf numFmtId="1" fontId="50" fillId="28" borderId="0" xfId="0" applyNumberFormat="1" applyFont="1" applyFill="1"/>
    <xf numFmtId="1" fontId="66" fillId="28" borderId="0" xfId="0" applyNumberFormat="1" applyFont="1" applyFill="1"/>
    <xf numFmtId="0" fontId="67" fillId="0" borderId="231" xfId="0" applyFont="1" applyBorder="1"/>
    <xf numFmtId="0" fontId="41" fillId="0" borderId="222" xfId="0" applyFont="1" applyBorder="1" applyAlignment="1">
      <alignment horizontal="center"/>
    </xf>
    <xf numFmtId="0" fontId="67" fillId="0" borderId="241" xfId="0" applyFont="1" applyBorder="1" applyAlignment="1">
      <alignment horizontal="center"/>
    </xf>
    <xf numFmtId="1" fontId="41" fillId="0" borderId="0" xfId="0" applyNumberFormat="1" applyFont="1" applyAlignment="1">
      <alignment horizontal="left"/>
    </xf>
    <xf numFmtId="1" fontId="75" fillId="0" borderId="0" xfId="0" applyNumberFormat="1" applyFont="1" applyAlignment="1">
      <alignment horizontal="left"/>
    </xf>
    <xf numFmtId="0" fontId="61" fillId="0" borderId="0" xfId="0" applyFont="1"/>
    <xf numFmtId="0" fontId="41" fillId="0" borderId="221" xfId="0" applyFont="1" applyBorder="1" applyAlignment="1">
      <alignment horizontal="center"/>
    </xf>
    <xf numFmtId="0" fontId="67" fillId="0" borderId="231" xfId="0" applyFont="1" applyBorder="1" applyAlignment="1">
      <alignment horizontal="center"/>
    </xf>
    <xf numFmtId="0" fontId="66" fillId="0" borderId="231" xfId="0" applyFont="1" applyBorder="1"/>
    <xf numFmtId="0" fontId="42" fillId="0" borderId="0" xfId="0" applyFont="1"/>
    <xf numFmtId="1" fontId="75" fillId="26" borderId="0" xfId="0" applyNumberFormat="1" applyFont="1" applyFill="1" applyAlignment="1">
      <alignment horizontal="left"/>
    </xf>
    <xf numFmtId="0" fontId="67" fillId="0" borderId="224" xfId="0" applyFont="1" applyBorder="1"/>
    <xf numFmtId="0" fontId="66" fillId="0" borderId="242" xfId="0" applyFont="1" applyBorder="1"/>
    <xf numFmtId="0" fontId="75" fillId="26" borderId="0" xfId="0" applyFont="1" applyFill="1" applyAlignment="1">
      <alignment horizontal="left"/>
    </xf>
    <xf numFmtId="0" fontId="64" fillId="30" borderId="0" xfId="0" applyFont="1" applyFill="1" applyAlignment="1">
      <alignment horizontal="left"/>
    </xf>
    <xf numFmtId="1" fontId="41" fillId="26" borderId="0" xfId="0" applyNumberFormat="1" applyFont="1" applyFill="1" applyAlignment="1">
      <alignment horizontal="left"/>
    </xf>
    <xf numFmtId="0" fontId="41" fillId="26" borderId="0" xfId="0" applyFont="1" applyFill="1"/>
    <xf numFmtId="0" fontId="61" fillId="0" borderId="0" xfId="0" applyFont="1" applyAlignment="1">
      <alignment horizontal="left"/>
    </xf>
    <xf numFmtId="0" fontId="8" fillId="21" borderId="99" xfId="5" applyFont="1" applyFill="1" applyBorder="1" applyAlignment="1">
      <alignment horizontal="center" vertical="center" wrapText="1"/>
    </xf>
    <xf numFmtId="0" fontId="8" fillId="21" borderId="101" xfId="5" applyFont="1" applyFill="1" applyBorder="1" applyAlignment="1">
      <alignment horizontal="center" vertical="center"/>
    </xf>
    <xf numFmtId="0" fontId="8" fillId="21" borderId="100" xfId="5" applyFont="1" applyFill="1" applyBorder="1" applyAlignment="1">
      <alignment horizontal="center" vertical="center"/>
    </xf>
    <xf numFmtId="0" fontId="8" fillId="22" borderId="99" xfId="5" applyFont="1" applyFill="1" applyBorder="1" applyAlignment="1">
      <alignment horizontal="center" vertical="center" wrapText="1"/>
    </xf>
    <xf numFmtId="0" fontId="8" fillId="22" borderId="101" xfId="5" applyFont="1" applyFill="1" applyBorder="1" applyAlignment="1">
      <alignment horizontal="center" vertical="center"/>
    </xf>
    <xf numFmtId="0" fontId="8" fillId="22" borderId="100" xfId="5" applyFont="1" applyFill="1" applyBorder="1" applyAlignment="1">
      <alignment horizontal="center" vertical="center"/>
    </xf>
    <xf numFmtId="0" fontId="5" fillId="0" borderId="99" xfId="5" applyFont="1" applyBorder="1" applyAlignment="1" applyProtection="1">
      <alignment horizontal="center"/>
      <protection locked="0"/>
    </xf>
    <xf numFmtId="0" fontId="5" fillId="0" borderId="100" xfId="5" applyFont="1" applyBorder="1" applyAlignment="1" applyProtection="1">
      <alignment horizontal="center"/>
      <protection locked="0"/>
    </xf>
    <xf numFmtId="0" fontId="8" fillId="20" borderId="99" xfId="5" applyFont="1" applyFill="1" applyBorder="1" applyAlignment="1">
      <alignment horizontal="center" vertical="center" wrapText="1"/>
    </xf>
    <xf numFmtId="0" fontId="8" fillId="20" borderId="101" xfId="5" applyFont="1" applyFill="1" applyBorder="1" applyAlignment="1">
      <alignment horizontal="center" vertical="center"/>
    </xf>
    <xf numFmtId="0" fontId="8" fillId="20" borderId="100" xfId="5" applyFont="1" applyFill="1" applyBorder="1" applyAlignment="1">
      <alignment horizontal="center" vertical="center"/>
    </xf>
    <xf numFmtId="0" fontId="8" fillId="20" borderId="93" xfId="5" applyFont="1" applyFill="1" applyBorder="1" applyAlignment="1">
      <alignment horizontal="center" vertical="center" wrapText="1"/>
    </xf>
    <xf numFmtId="0" fontId="8" fillId="20" borderId="58" xfId="5" applyFont="1" applyFill="1" applyBorder="1" applyAlignment="1">
      <alignment horizontal="center" vertical="center"/>
    </xf>
    <xf numFmtId="0" fontId="8" fillId="20" borderId="90" xfId="5" applyFont="1" applyFill="1" applyBorder="1" applyAlignment="1">
      <alignment horizontal="center" vertical="center"/>
    </xf>
    <xf numFmtId="0" fontId="40" fillId="0" borderId="188" xfId="4" applyFont="1" applyBorder="1" applyAlignment="1">
      <alignment horizontal="center" wrapText="1"/>
    </xf>
    <xf numFmtId="0" fontId="40" fillId="0" borderId="194" xfId="4" applyFont="1" applyBorder="1" applyAlignment="1">
      <alignment horizontal="center" wrapText="1"/>
    </xf>
    <xf numFmtId="0" fontId="40" fillId="0" borderId="197" xfId="4" applyFont="1" applyBorder="1" applyAlignment="1">
      <alignment horizontal="center" wrapText="1"/>
    </xf>
    <xf numFmtId="0" fontId="37" fillId="0" borderId="180" xfId="0" applyFont="1" applyBorder="1" applyAlignment="1">
      <alignment horizontal="center"/>
    </xf>
    <xf numFmtId="0" fontId="38" fillId="0" borderId="181" xfId="0" applyFont="1" applyBorder="1"/>
    <xf numFmtId="0" fontId="38" fillId="0" borderId="182" xfId="0" applyFont="1" applyBorder="1"/>
    <xf numFmtId="0" fontId="38" fillId="0" borderId="183" xfId="0" applyFont="1" applyBorder="1"/>
    <xf numFmtId="0" fontId="0" fillId="0" borderId="0" xfId="0"/>
    <xf numFmtId="0" fontId="38" fillId="0" borderId="184" xfId="0" applyFont="1" applyBorder="1"/>
    <xf numFmtId="0" fontId="17" fillId="0" borderId="172" xfId="0" applyFont="1" applyBorder="1" applyAlignment="1">
      <alignment horizontal="center"/>
    </xf>
    <xf numFmtId="0" fontId="17" fillId="0" borderId="185" xfId="0" applyFont="1" applyBorder="1" applyAlignment="1">
      <alignment horizontal="center"/>
    </xf>
    <xf numFmtId="0" fontId="17" fillId="0" borderId="173" xfId="0" applyFont="1" applyBorder="1" applyAlignment="1">
      <alignment horizontal="center"/>
    </xf>
    <xf numFmtId="0" fontId="0" fillId="0" borderId="186" xfId="0" applyBorder="1" applyAlignment="1">
      <alignment horizontal="center"/>
    </xf>
    <xf numFmtId="0" fontId="0" fillId="0" borderId="179" xfId="0" applyBorder="1" applyAlignment="1">
      <alignment horizontal="center"/>
    </xf>
    <xf numFmtId="0" fontId="0" fillId="0" borderId="178" xfId="0" applyBorder="1" applyAlignment="1">
      <alignment horizontal="center"/>
    </xf>
    <xf numFmtId="0" fontId="40" fillId="0" borderId="187" xfId="4" applyFont="1" applyBorder="1" applyAlignment="1">
      <alignment horizontal="center" wrapText="1"/>
    </xf>
    <xf numFmtId="0" fontId="40" fillId="0" borderId="193" xfId="4" applyFont="1" applyBorder="1" applyAlignment="1">
      <alignment horizontal="center" wrapText="1"/>
    </xf>
    <xf numFmtId="0" fontId="40" fillId="0" borderId="196" xfId="4" applyFont="1" applyBorder="1" applyAlignment="1">
      <alignment horizontal="center" wrapText="1"/>
    </xf>
    <xf numFmtId="0" fontId="40" fillId="0" borderId="189" xfId="4" applyFont="1" applyBorder="1" applyAlignment="1">
      <alignment horizontal="center" wrapText="1"/>
    </xf>
    <xf numFmtId="0" fontId="40" fillId="0" borderId="195" xfId="4" applyFont="1" applyBorder="1" applyAlignment="1">
      <alignment horizontal="center" wrapText="1"/>
    </xf>
    <xf numFmtId="0" fontId="40" fillId="0" borderId="198" xfId="4" applyFont="1" applyBorder="1" applyAlignment="1">
      <alignment horizontal="center" wrapText="1"/>
    </xf>
    <xf numFmtId="0" fontId="40" fillId="0" borderId="243" xfId="4" applyFont="1" applyBorder="1" applyAlignment="1">
      <alignment horizontal="center" wrapText="1"/>
    </xf>
    <xf numFmtId="0" fontId="40" fillId="0" borderId="244" xfId="4" applyFont="1" applyBorder="1" applyAlignment="1">
      <alignment horizontal="center" wrapText="1"/>
    </xf>
    <xf numFmtId="0" fontId="40" fillId="0" borderId="245" xfId="4" applyFont="1" applyBorder="1" applyAlignment="1">
      <alignment horizontal="center" wrapText="1"/>
    </xf>
    <xf numFmtId="0" fontId="17" fillId="0" borderId="178" xfId="0" applyFont="1" applyBorder="1" applyAlignment="1">
      <alignment horizontal="center"/>
    </xf>
    <xf numFmtId="0" fontId="17" fillId="0" borderId="186" xfId="0" applyFont="1" applyBorder="1" applyAlignment="1">
      <alignment horizontal="center"/>
    </xf>
    <xf numFmtId="0" fontId="17" fillId="0" borderId="179" xfId="0" applyFont="1" applyBorder="1" applyAlignment="1">
      <alignment horizontal="center"/>
    </xf>
    <xf numFmtId="0" fontId="80" fillId="0" borderId="0" xfId="0" applyFont="1" applyAlignment="1">
      <alignment horizontal="center"/>
    </xf>
    <xf numFmtId="0" fontId="11" fillId="0" borderId="28" xfId="0" quotePrefix="1" applyFont="1" applyBorder="1" applyAlignment="1">
      <alignment horizontal="left" vertical="center"/>
    </xf>
    <xf numFmtId="0" fontId="11" fillId="0" borderId="0" xfId="0" quotePrefix="1" applyFont="1" applyAlignment="1">
      <alignment horizontal="left" vertical="center"/>
    </xf>
    <xf numFmtId="0" fontId="8" fillId="9" borderId="89" xfId="0" quotePrefix="1" applyFont="1" applyFill="1" applyBorder="1" applyAlignment="1">
      <alignment horizontal="center" vertical="center" wrapText="1"/>
    </xf>
    <xf numFmtId="0" fontId="8" fillId="9" borderId="58" xfId="0" applyFont="1" applyFill="1" applyBorder="1" applyAlignment="1">
      <alignment horizontal="center" vertical="center" wrapText="1"/>
    </xf>
    <xf numFmtId="0" fontId="8" fillId="9" borderId="90" xfId="0" applyFont="1" applyFill="1" applyBorder="1" applyAlignment="1">
      <alignment horizontal="center" vertical="center" wrapText="1"/>
    </xf>
    <xf numFmtId="0" fontId="7" fillId="0" borderId="91" xfId="0" applyFont="1" applyBorder="1" applyAlignment="1">
      <alignment horizontal="center" vertical="center" wrapText="1"/>
    </xf>
    <xf numFmtId="0" fontId="7" fillId="0" borderId="91" xfId="0" applyFont="1" applyBorder="1" applyAlignment="1">
      <alignment horizontal="center" vertical="center"/>
    </xf>
    <xf numFmtId="0" fontId="7" fillId="0" borderId="92" xfId="0" applyFont="1" applyBorder="1" applyAlignment="1">
      <alignment horizontal="center" vertical="center"/>
    </xf>
    <xf numFmtId="0" fontId="6" fillId="0" borderId="3" xfId="0" quotePrefix="1" applyFont="1" applyBorder="1" applyAlignment="1">
      <alignment horizontal="center" vertical="center"/>
    </xf>
    <xf numFmtId="0" fontId="6" fillId="0" borderId="93" xfId="0" quotePrefix="1" applyFont="1" applyBorder="1" applyAlignment="1">
      <alignment horizontal="center" vertical="center"/>
    </xf>
    <xf numFmtId="0" fontId="6" fillId="0" borderId="0" xfId="0" quotePrefix="1" applyFont="1" applyAlignment="1">
      <alignment horizontal="center" vertical="center"/>
    </xf>
    <xf numFmtId="0" fontId="6" fillId="0" borderId="58" xfId="0" quotePrefix="1" applyFont="1" applyBorder="1" applyAlignment="1">
      <alignment horizontal="center" vertical="center"/>
    </xf>
    <xf numFmtId="0" fontId="6" fillId="0" borderId="94" xfId="0" quotePrefix="1" applyFont="1" applyBorder="1" applyAlignment="1">
      <alignment horizontal="center" vertical="center"/>
    </xf>
    <xf numFmtId="0" fontId="6" fillId="0" borderId="90" xfId="0" quotePrefix="1" applyFont="1" applyBorder="1" applyAlignment="1">
      <alignment horizontal="center" vertical="center"/>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97" xfId="0" applyFont="1" applyBorder="1" applyAlignment="1">
      <alignment horizontal="center" vertical="center" wrapText="1"/>
    </xf>
    <xf numFmtId="0" fontId="11" fillId="0" borderId="98" xfId="0" applyFont="1" applyBorder="1" applyAlignment="1">
      <alignment horizontal="left" vertical="center"/>
    </xf>
    <xf numFmtId="0" fontId="11" fillId="0" borderId="0" xfId="0" applyFont="1" applyAlignment="1">
      <alignment horizontal="left" vertical="center"/>
    </xf>
    <xf numFmtId="0" fontId="8" fillId="11" borderId="3" xfId="0" quotePrefix="1" applyFont="1" applyFill="1" applyBorder="1" applyAlignment="1">
      <alignment horizontal="center" vertical="center"/>
    </xf>
    <xf numFmtId="0" fontId="8" fillId="11" borderId="93" xfId="0" applyFont="1" applyFill="1" applyBorder="1" applyAlignment="1">
      <alignment horizontal="center" vertical="center"/>
    </xf>
    <xf numFmtId="0" fontId="8" fillId="11" borderId="102" xfId="0" applyFont="1" applyFill="1" applyBorder="1" applyAlignment="1">
      <alignment horizontal="center" vertical="center"/>
    </xf>
    <xf numFmtId="0" fontId="8" fillId="11" borderId="103" xfId="0" applyFont="1" applyFill="1" applyBorder="1" applyAlignment="1">
      <alignment horizontal="center" vertical="center"/>
    </xf>
    <xf numFmtId="0" fontId="8" fillId="0" borderId="104" xfId="0" applyFont="1" applyBorder="1" applyAlignment="1">
      <alignment horizontal="center" vertical="center"/>
    </xf>
    <xf numFmtId="0" fontId="8" fillId="0" borderId="91" xfId="0" applyFont="1" applyBorder="1" applyAlignment="1">
      <alignment horizontal="center" vertical="center"/>
    </xf>
    <xf numFmtId="0" fontId="6" fillId="9" borderId="0" xfId="0" applyFont="1" applyFill="1" applyAlignment="1">
      <alignment horizontal="center" vertical="center" wrapText="1"/>
    </xf>
    <xf numFmtId="0" fontId="6" fillId="9" borderId="0" xfId="0" applyFont="1" applyFill="1" applyAlignment="1">
      <alignment horizontal="center" vertical="center"/>
    </xf>
    <xf numFmtId="0" fontId="7" fillId="0" borderId="1" xfId="0" applyFont="1" applyBorder="1" applyAlignment="1">
      <alignment horizontal="center" vertical="center" wrapText="1"/>
    </xf>
    <xf numFmtId="0" fontId="7" fillId="0" borderId="93" xfId="0" applyFont="1" applyBorder="1" applyAlignment="1">
      <alignment horizontal="center" vertical="center"/>
    </xf>
    <xf numFmtId="0" fontId="5" fillId="0" borderId="0" xfId="0" applyFont="1" applyAlignment="1">
      <alignment horizontal="right" vertical="center" wrapText="1"/>
    </xf>
    <xf numFmtId="0" fontId="0" fillId="0" borderId="0" xfId="0" applyAlignment="1">
      <alignment vertical="center" wrapText="1"/>
    </xf>
    <xf numFmtId="0" fontId="0" fillId="0" borderId="58" xfId="0" applyBorder="1" applyAlignment="1">
      <alignment vertical="center" wrapText="1"/>
    </xf>
    <xf numFmtId="0" fontId="8" fillId="13" borderId="1" xfId="0" applyFont="1" applyFill="1" applyBorder="1" applyAlignment="1">
      <alignment horizontal="center" vertical="center"/>
    </xf>
    <xf numFmtId="0" fontId="8" fillId="13" borderId="93" xfId="0" applyFont="1" applyFill="1" applyBorder="1" applyAlignment="1">
      <alignment horizontal="center" vertical="center"/>
    </xf>
    <xf numFmtId="0" fontId="8" fillId="13" borderId="105" xfId="0" applyFont="1" applyFill="1" applyBorder="1" applyAlignment="1">
      <alignment horizontal="center" vertical="center"/>
    </xf>
    <xf numFmtId="0" fontId="8" fillId="13" borderId="103" xfId="0" applyFont="1" applyFill="1" applyBorder="1" applyAlignment="1">
      <alignment horizontal="center" vertical="center"/>
    </xf>
    <xf numFmtId="0" fontId="5" fillId="0" borderId="99" xfId="0" quotePrefix="1" applyFont="1" applyBorder="1" applyAlignment="1">
      <alignment horizontal="center" vertical="center" wrapText="1"/>
    </xf>
    <xf numFmtId="0" fontId="5" fillId="0" borderId="101" xfId="0" applyFont="1" applyBorder="1" applyAlignment="1">
      <alignment horizontal="center" vertical="center" wrapText="1"/>
    </xf>
    <xf numFmtId="0" fontId="5" fillId="0" borderId="100" xfId="0" applyFont="1" applyBorder="1" applyAlignment="1">
      <alignment horizontal="center" vertical="center" wrapText="1"/>
    </xf>
    <xf numFmtId="0" fontId="8" fillId="10" borderId="1" xfId="0" applyFont="1" applyFill="1" applyBorder="1" applyAlignment="1">
      <alignment horizontal="center" vertical="center"/>
    </xf>
    <xf numFmtId="0" fontId="8" fillId="10" borderId="93" xfId="0" applyFont="1" applyFill="1" applyBorder="1" applyAlignment="1">
      <alignment horizontal="center" vertical="center"/>
    </xf>
    <xf numFmtId="0" fontId="8" fillId="10" borderId="105" xfId="0" applyFont="1" applyFill="1" applyBorder="1" applyAlignment="1">
      <alignment horizontal="center" vertical="center"/>
    </xf>
    <xf numFmtId="0" fontId="8" fillId="10" borderId="103" xfId="0" applyFont="1" applyFill="1" applyBorder="1" applyAlignment="1">
      <alignment horizontal="center" vertical="center"/>
    </xf>
    <xf numFmtId="0" fontId="5" fillId="0" borderId="3" xfId="0" quotePrefix="1" applyFont="1" applyBorder="1" applyAlignment="1">
      <alignment horizontal="center" vertical="center" wrapText="1"/>
    </xf>
    <xf numFmtId="0" fontId="5" fillId="0" borderId="0" xfId="0" applyFont="1" applyAlignment="1">
      <alignment horizontal="center" vertical="center" wrapText="1"/>
    </xf>
    <xf numFmtId="0" fontId="5" fillId="0" borderId="94" xfId="0" applyFont="1" applyBorder="1" applyAlignment="1">
      <alignment horizontal="center" vertical="center" wrapText="1"/>
    </xf>
    <xf numFmtId="0" fontId="6" fillId="0" borderId="0" xfId="0" applyFont="1" applyAlignment="1">
      <alignment horizontal="center" vertical="center" wrapText="1"/>
    </xf>
    <xf numFmtId="0" fontId="11" fillId="0" borderId="0" xfId="0" quotePrefix="1" applyFont="1" applyAlignment="1">
      <alignment horizontal="center" vertical="center" wrapText="1"/>
    </xf>
    <xf numFmtId="0" fontId="7" fillId="0" borderId="153" xfId="0" quotePrefix="1" applyFont="1" applyBorder="1" applyAlignment="1">
      <alignment horizontal="left" vertical="center"/>
    </xf>
    <xf numFmtId="0" fontId="7" fillId="0" borderId="154" xfId="0" quotePrefix="1" applyFont="1" applyBorder="1" applyAlignment="1">
      <alignment horizontal="left" vertical="center"/>
    </xf>
    <xf numFmtId="0" fontId="8" fillId="12" borderId="139" xfId="0" applyFont="1" applyFill="1" applyBorder="1" applyAlignment="1">
      <alignment horizontal="center" vertical="center" wrapText="1"/>
    </xf>
    <xf numFmtId="0" fontId="8" fillId="12" borderId="140" xfId="0" applyFont="1" applyFill="1" applyBorder="1" applyAlignment="1">
      <alignment horizontal="center" vertical="center" wrapText="1"/>
    </xf>
    <xf numFmtId="0" fontId="8" fillId="11" borderId="124" xfId="0" applyFont="1" applyFill="1" applyBorder="1" applyAlignment="1">
      <alignment horizontal="center" vertical="center"/>
    </xf>
    <xf numFmtId="0" fontId="8" fillId="11" borderId="138" xfId="0" applyFont="1" applyFill="1" applyBorder="1" applyAlignment="1">
      <alignment horizontal="center" vertical="center"/>
    </xf>
    <xf numFmtId="0" fontId="8" fillId="12" borderId="128" xfId="0" applyFont="1" applyFill="1" applyBorder="1" applyAlignment="1">
      <alignment horizontal="center" vertical="center" wrapText="1"/>
    </xf>
    <xf numFmtId="0" fontId="8" fillId="12" borderId="145" xfId="0" applyFont="1" applyFill="1" applyBorder="1" applyAlignment="1">
      <alignment horizontal="center" vertical="center" wrapText="1"/>
    </xf>
    <xf numFmtId="0" fontId="5" fillId="0" borderId="131" xfId="0" quotePrefix="1" applyFont="1" applyBorder="1" applyAlignment="1">
      <alignment horizontal="center" vertical="center" wrapText="1"/>
    </xf>
    <xf numFmtId="0" fontId="5" fillId="0" borderId="133" xfId="0" applyFont="1" applyBorder="1" applyAlignment="1">
      <alignment horizontal="center" vertical="center" wrapText="1"/>
    </xf>
    <xf numFmtId="0" fontId="5" fillId="0" borderId="135" xfId="0" applyFont="1" applyBorder="1" applyAlignment="1">
      <alignment horizontal="center" vertical="center" wrapText="1"/>
    </xf>
    <xf numFmtId="0" fontId="5" fillId="0" borderId="113" xfId="0" quotePrefix="1" applyFont="1" applyBorder="1" applyAlignment="1">
      <alignment horizontal="center" vertical="center" wrapText="1"/>
    </xf>
    <xf numFmtId="0" fontId="5" fillId="0" borderId="127" xfId="0" applyFont="1" applyBorder="1" applyAlignment="1">
      <alignment horizontal="center" vertical="center" wrapText="1"/>
    </xf>
    <xf numFmtId="0" fontId="13" fillId="0" borderId="0" xfId="0" applyFont="1" applyAlignment="1">
      <alignment horizontal="right" vertical="center" wrapText="1"/>
    </xf>
    <xf numFmtId="0" fontId="5" fillId="0" borderId="129" xfId="0" applyFont="1" applyBorder="1" applyAlignment="1">
      <alignment horizontal="center" vertical="center"/>
    </xf>
    <xf numFmtId="0" fontId="5" fillId="0" borderId="130" xfId="0" applyFont="1" applyBorder="1" applyAlignment="1">
      <alignment horizontal="center" vertical="center"/>
    </xf>
    <xf numFmtId="0" fontId="5" fillId="0" borderId="132" xfId="0" quotePrefix="1" applyFont="1" applyBorder="1" applyAlignment="1">
      <alignment horizontal="center" vertical="center" wrapText="1"/>
    </xf>
    <xf numFmtId="0" fontId="5" fillId="0" borderId="134" xfId="0" applyFont="1" applyBorder="1" applyAlignment="1">
      <alignment horizontal="center" vertical="center" wrapText="1"/>
    </xf>
    <xf numFmtId="0" fontId="5" fillId="0" borderId="136" xfId="0" applyFont="1" applyBorder="1" applyAlignment="1">
      <alignment horizontal="center" vertical="center" wrapText="1"/>
    </xf>
    <xf numFmtId="0" fontId="7" fillId="0" borderId="153" xfId="0" applyFont="1" applyBorder="1" applyAlignment="1">
      <alignment horizontal="left" vertical="center"/>
    </xf>
    <xf numFmtId="0" fontId="7" fillId="0" borderId="154" xfId="0" applyFont="1" applyBorder="1" applyAlignment="1">
      <alignment horizontal="left" vertical="center"/>
    </xf>
    <xf numFmtId="0" fontId="8" fillId="9" borderId="143" xfId="0" quotePrefix="1" applyFont="1" applyFill="1" applyBorder="1" applyAlignment="1">
      <alignment horizontal="center" vertical="center" wrapText="1"/>
    </xf>
    <xf numFmtId="0" fontId="8" fillId="9" borderId="144" xfId="0" applyFont="1" applyFill="1" applyBorder="1" applyAlignment="1">
      <alignment horizontal="center" vertical="center" wrapText="1"/>
    </xf>
    <xf numFmtId="0" fontId="8" fillId="14" borderId="141" xfId="0" quotePrefix="1" applyFont="1" applyFill="1" applyBorder="1" applyAlignment="1">
      <alignment horizontal="center" vertical="center" wrapText="1"/>
    </xf>
    <xf numFmtId="0" fontId="8" fillId="14" borderId="142" xfId="0" applyFont="1" applyFill="1" applyBorder="1" applyAlignment="1">
      <alignment horizontal="center" vertical="center" wrapText="1"/>
    </xf>
    <xf numFmtId="0" fontId="8" fillId="15" borderId="141" xfId="0" quotePrefix="1" applyFont="1" applyFill="1" applyBorder="1" applyAlignment="1">
      <alignment horizontal="center" vertical="center" wrapText="1"/>
    </xf>
    <xf numFmtId="0" fontId="8" fillId="15" borderId="142" xfId="0" applyFont="1" applyFill="1" applyBorder="1" applyAlignment="1">
      <alignment horizontal="center" vertical="center" wrapText="1"/>
    </xf>
    <xf numFmtId="0" fontId="6" fillId="0" borderId="113" xfId="0" quotePrefix="1" applyFont="1" applyBorder="1" applyAlignment="1">
      <alignment horizontal="center" vertical="center"/>
    </xf>
    <xf numFmtId="0" fontId="6" fillId="0" borderId="114" xfId="0" quotePrefix="1" applyFont="1" applyBorder="1" applyAlignment="1">
      <alignment horizontal="center" vertical="center"/>
    </xf>
    <xf numFmtId="0" fontId="6" fillId="0" borderId="116" xfId="0" quotePrefix="1" applyFont="1" applyBorder="1" applyAlignment="1">
      <alignment horizontal="center" vertical="center"/>
    </xf>
    <xf numFmtId="0" fontId="6" fillId="0" borderId="127" xfId="0" quotePrefix="1" applyFont="1" applyBorder="1" applyAlignment="1">
      <alignment horizontal="center" vertical="center"/>
    </xf>
    <xf numFmtId="0" fontId="6" fillId="0" borderId="128" xfId="0" quotePrefix="1" applyFont="1" applyBorder="1" applyAlignment="1">
      <alignment horizontal="center" vertical="center"/>
    </xf>
    <xf numFmtId="0" fontId="8" fillId="0" borderId="125" xfId="0" applyFont="1" applyBorder="1" applyAlignment="1">
      <alignment horizontal="center" vertical="center"/>
    </xf>
    <xf numFmtId="0" fontId="7" fillId="0" borderId="102" xfId="0" applyFont="1" applyBorder="1" applyAlignment="1">
      <alignment horizontal="center" vertical="center" wrapText="1"/>
    </xf>
    <xf numFmtId="0" fontId="7" fillId="0" borderId="123" xfId="0" applyFont="1" applyBorder="1" applyAlignment="1">
      <alignment horizontal="center" vertical="center"/>
    </xf>
    <xf numFmtId="0" fontId="7" fillId="0" borderId="137" xfId="0" applyFont="1" applyBorder="1" applyAlignment="1">
      <alignment horizontal="center" vertical="center"/>
    </xf>
    <xf numFmtId="0" fontId="8" fillId="10" borderId="124" xfId="0" applyFont="1" applyFill="1" applyBorder="1" applyAlignment="1">
      <alignment horizontal="center" vertical="center" wrapText="1"/>
    </xf>
    <xf numFmtId="0" fontId="0" fillId="10" borderId="124" xfId="0" applyFill="1" applyBorder="1" applyAlignment="1">
      <alignment horizontal="center" vertical="center"/>
    </xf>
    <xf numFmtId="0" fontId="0" fillId="10" borderId="129" xfId="0" applyFill="1" applyBorder="1" applyAlignment="1">
      <alignment horizontal="center" vertical="center"/>
    </xf>
    <xf numFmtId="0" fontId="8" fillId="13" borderId="124" xfId="0" applyFont="1" applyFill="1" applyBorder="1" applyAlignment="1">
      <alignment horizontal="center" vertical="center"/>
    </xf>
    <xf numFmtId="0" fontId="0" fillId="13" borderId="124" xfId="0" applyFill="1" applyBorder="1" applyAlignment="1">
      <alignment horizontal="center" vertical="center"/>
    </xf>
    <xf numFmtId="0" fontId="8" fillId="13" borderId="138" xfId="0" applyFont="1" applyFill="1" applyBorder="1" applyAlignment="1">
      <alignment horizontal="center" vertical="center"/>
    </xf>
    <xf numFmtId="0" fontId="0" fillId="13" borderId="138" xfId="0" applyFill="1" applyBorder="1" applyAlignment="1">
      <alignment horizontal="center" vertical="center"/>
    </xf>
    <xf numFmtId="0" fontId="8" fillId="15" borderId="146" xfId="0" quotePrefix="1" applyFont="1" applyFill="1" applyBorder="1" applyAlignment="1">
      <alignment horizontal="center" vertical="center" wrapText="1"/>
    </xf>
    <xf numFmtId="0" fontId="8" fillId="15" borderId="147" xfId="0" applyFont="1" applyFill="1" applyBorder="1" applyAlignment="1">
      <alignment horizontal="center" vertical="center" wrapText="1"/>
    </xf>
    <xf numFmtId="0" fontId="8" fillId="13" borderId="146" xfId="0" quotePrefix="1" applyFont="1" applyFill="1" applyBorder="1" applyAlignment="1">
      <alignment horizontal="center" vertical="center" wrapText="1"/>
    </xf>
    <xf numFmtId="0" fontId="8" fillId="13" borderId="147" xfId="0" applyFont="1" applyFill="1" applyBorder="1" applyAlignment="1">
      <alignment horizontal="center" vertical="center" wrapText="1"/>
    </xf>
    <xf numFmtId="0" fontId="8" fillId="13" borderId="141" xfId="0" quotePrefix="1" applyFont="1" applyFill="1" applyBorder="1" applyAlignment="1">
      <alignment horizontal="center" vertical="center" wrapText="1"/>
    </xf>
    <xf numFmtId="0" fontId="8" fillId="13" borderId="142" xfId="0" applyFont="1" applyFill="1" applyBorder="1" applyAlignment="1">
      <alignment horizontal="center" vertical="center" wrapText="1"/>
    </xf>
    <xf numFmtId="0" fontId="8" fillId="15" borderId="143" xfId="0" quotePrefix="1" applyFont="1" applyFill="1" applyBorder="1" applyAlignment="1">
      <alignment horizontal="center" vertical="center" wrapText="1"/>
    </xf>
    <xf numFmtId="0" fontId="8" fillId="15" borderId="144" xfId="0" applyFont="1" applyFill="1" applyBorder="1" applyAlignment="1">
      <alignment horizontal="center" vertical="center" wrapText="1"/>
    </xf>
    <xf numFmtId="0" fontId="8" fillId="16" borderId="146" xfId="0" quotePrefix="1" applyFont="1" applyFill="1" applyBorder="1" applyAlignment="1">
      <alignment horizontal="center" vertical="center" wrapText="1"/>
    </xf>
    <xf numFmtId="0" fontId="8" fillId="16" borderId="147" xfId="0" applyFont="1" applyFill="1" applyBorder="1" applyAlignment="1">
      <alignment horizontal="center" vertical="center" wrapText="1"/>
    </xf>
    <xf numFmtId="0" fontId="8" fillId="16" borderId="141" xfId="0" quotePrefix="1" applyFont="1" applyFill="1" applyBorder="1" applyAlignment="1">
      <alignment horizontal="center" vertical="center" wrapText="1"/>
    </xf>
    <xf numFmtId="0" fontId="8" fillId="16" borderId="142" xfId="0" applyFont="1" applyFill="1" applyBorder="1" applyAlignment="1">
      <alignment horizontal="center" vertical="center" wrapText="1"/>
    </xf>
    <xf numFmtId="0" fontId="8" fillId="13" borderId="143" xfId="0" quotePrefix="1" applyFont="1" applyFill="1" applyBorder="1" applyAlignment="1">
      <alignment horizontal="center" vertical="center" wrapText="1"/>
    </xf>
    <xf numFmtId="0" fontId="8" fillId="13" borderId="144" xfId="0" applyFont="1" applyFill="1" applyBorder="1" applyAlignment="1">
      <alignment horizontal="center" vertical="center" wrapText="1"/>
    </xf>
    <xf numFmtId="0" fontId="66" fillId="0" borderId="0" xfId="0" applyFont="1"/>
    <xf numFmtId="0" fontId="66" fillId="0" borderId="233" xfId="0" applyFont="1" applyBorder="1"/>
    <xf numFmtId="0" fontId="10" fillId="0" borderId="234" xfId="0" applyFont="1" applyBorder="1"/>
    <xf numFmtId="0" fontId="10" fillId="0" borderId="235" xfId="0" applyFont="1" applyBorder="1"/>
    <xf numFmtId="0" fontId="41" fillId="0" borderId="0" xfId="0" applyFont="1"/>
    <xf numFmtId="0" fontId="10" fillId="0" borderId="221" xfId="0" applyFont="1" applyBorder="1"/>
    <xf numFmtId="0" fontId="67" fillId="0" borderId="0" xfId="0" applyFont="1"/>
    <xf numFmtId="0" fontId="50" fillId="0" borderId="0" xfId="0" applyFont="1"/>
    <xf numFmtId="0" fontId="66" fillId="0" borderId="225" xfId="0" applyFont="1" applyBorder="1"/>
    <xf numFmtId="0" fontId="10" fillId="0" borderId="225" xfId="0" applyFont="1" applyBorder="1"/>
    <xf numFmtId="0" fontId="66" fillId="0" borderId="224" xfId="0" applyFont="1" applyBorder="1"/>
    <xf numFmtId="0" fontId="10" fillId="0" borderId="226" xfId="0" applyFont="1" applyBorder="1"/>
    <xf numFmtId="0" fontId="67" fillId="0" borderId="219" xfId="0" applyFont="1" applyBorder="1"/>
    <xf numFmtId="0" fontId="10" fillId="0" borderId="220" xfId="0" applyFont="1" applyBorder="1"/>
    <xf numFmtId="0" fontId="66" fillId="0" borderId="218" xfId="0" applyFont="1" applyBorder="1"/>
    <xf numFmtId="0" fontId="10" fillId="0" borderId="219" xfId="0" applyFont="1" applyBorder="1"/>
    <xf numFmtId="0" fontId="66" fillId="0" borderId="217" xfId="0" applyFont="1" applyBorder="1"/>
    <xf numFmtId="0" fontId="72" fillId="0" borderId="219" xfId="0" applyFont="1" applyBorder="1"/>
    <xf numFmtId="0" fontId="72" fillId="0" borderId="223" xfId="0" applyFont="1" applyBorder="1"/>
    <xf numFmtId="0" fontId="10" fillId="0" borderId="222" xfId="0" applyFont="1" applyBorder="1"/>
    <xf numFmtId="0" fontId="71" fillId="0" borderId="0" xfId="0" applyFont="1"/>
    <xf numFmtId="0" fontId="71" fillId="0" borderId="219" xfId="0" applyFont="1" applyBorder="1"/>
    <xf numFmtId="0" fontId="69" fillId="0" borderId="0" xfId="0" applyFont="1"/>
  </cellXfs>
  <cellStyles count="11">
    <cellStyle name="Comma" xfId="2" builtinId="3"/>
    <cellStyle name="Comma 2" xfId="3" xr:uid="{30214437-41D1-4D5F-A9F4-FF44AC9B6AA6}"/>
    <cellStyle name="Comma 2 2" xfId="6" xr:uid="{07C0FF49-305D-4203-9AAE-F3AD905CD874}"/>
    <cellStyle name="Normal" xfId="0" builtinId="0"/>
    <cellStyle name="Normal 2" xfId="4" xr:uid="{DE47C09C-2A4B-4C7A-8CDF-D774139BA81F}"/>
    <cellStyle name="Normal 2 2" xfId="7" xr:uid="{10C19F32-D00C-4BC7-886B-903CF9D5CCF6}"/>
    <cellStyle name="Normal 3" xfId="5" xr:uid="{86BF1862-73E2-4F5B-875C-68F0233F8775}"/>
    <cellStyle name="Normal 3 2" xfId="8" xr:uid="{24D7705D-D1C5-4878-80AF-60C8BB20373A}"/>
    <cellStyle name="Normal 4" xfId="9" xr:uid="{19AEF3F0-90D7-4E52-9B50-C86DA3DBABF0}"/>
    <cellStyle name="Normal 5" xfId="10" xr:uid="{2AA4B3FE-6F4B-412F-9441-E29E3098FA99}"/>
    <cellStyle name="Percent" xfId="1" builtinId="5"/>
  </cellStyles>
  <dxfs count="11">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
      <font>
        <strike/>
      </font>
      <fill>
        <patternFill patternType="solid">
          <fgColor rgb="FFF3F3F3"/>
          <bgColor rgb="FFF3F3F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amp;L%20SR%201"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erah_ed-ops\Downloads\FY25.LA.ChartofAccounts.xlsx" TargetMode="External"/><Relationship Id="rId1" Type="http://schemas.openxmlformats.org/officeDocument/2006/relationships/externalLinkPath" Target="file:///C:\Users\sherah_ed-ops\Downloads\FY25.LA.ChartofAccou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mp;L SR 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ount List 6-2021"/>
      <sheetName val="Sheet21"/>
      <sheetName val="Sheet23"/>
      <sheetName val="BudgetLines"/>
      <sheetName val="Staffing PEP example"/>
      <sheetName val="LAUGH Descriptions"/>
      <sheetName val="AFR for mapping"/>
      <sheetName val="Benefits Function Rollup"/>
      <sheetName val="MOE"/>
      <sheetName val="BRC"/>
      <sheetName val="LFNO"/>
      <sheetName val="EQA"/>
      <sheetName val="RSL"/>
      <sheetName val="ROOT"/>
      <sheetName val="AU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B1" t="str">
            <v>New KPC</v>
          </cell>
        </row>
        <row r="7">
          <cell r="B7" t="str">
            <v>0015930</v>
          </cell>
          <cell r="C7" t="str">
            <v>YES</v>
          </cell>
        </row>
        <row r="8">
          <cell r="B8" t="str">
            <v>0015940</v>
          </cell>
          <cell r="C8" t="str">
            <v>YES</v>
          </cell>
        </row>
        <row r="9">
          <cell r="B9" t="str">
            <v>0015950</v>
          </cell>
          <cell r="C9" t="str">
            <v>YES</v>
          </cell>
        </row>
        <row r="10">
          <cell r="B10" t="str">
            <v>0015960</v>
          </cell>
          <cell r="C10" t="str">
            <v>YES</v>
          </cell>
        </row>
        <row r="11">
          <cell r="B11" t="str">
            <v>0015970</v>
          </cell>
          <cell r="C11" t="str">
            <v>YES</v>
          </cell>
        </row>
        <row r="12">
          <cell r="B12" t="str">
            <v>0015980</v>
          </cell>
          <cell r="C12" t="str">
            <v>YES</v>
          </cell>
        </row>
        <row r="13">
          <cell r="B13" t="str">
            <v>0015990</v>
          </cell>
          <cell r="C13" t="str">
            <v>YES</v>
          </cell>
        </row>
        <row r="15">
          <cell r="B15" t="str">
            <v>0016005</v>
          </cell>
          <cell r="C15" t="str">
            <v>YES</v>
          </cell>
        </row>
        <row r="16">
          <cell r="B16" t="str">
            <v>0016015</v>
          </cell>
          <cell r="C16" t="str">
            <v>YES</v>
          </cell>
        </row>
        <row r="17">
          <cell r="B17" t="str">
            <v>0016025</v>
          </cell>
          <cell r="C17" t="str">
            <v>YES</v>
          </cell>
        </row>
        <row r="20">
          <cell r="B20" t="str">
            <v>0016045</v>
          </cell>
          <cell r="C20" t="str">
            <v>YES</v>
          </cell>
        </row>
        <row r="21">
          <cell r="B21" t="str">
            <v>0016055</v>
          </cell>
          <cell r="C21" t="str">
            <v>YES</v>
          </cell>
        </row>
        <row r="22">
          <cell r="B22" t="str">
            <v>0016065</v>
          </cell>
          <cell r="C22" t="str">
            <v>YES</v>
          </cell>
        </row>
        <row r="23">
          <cell r="B23" t="str">
            <v>0016075</v>
          </cell>
          <cell r="C23" t="str">
            <v>YES</v>
          </cell>
        </row>
        <row r="24">
          <cell r="B24" t="str">
            <v>0016085</v>
          </cell>
          <cell r="C24" t="str">
            <v>YES</v>
          </cell>
        </row>
        <row r="26">
          <cell r="B26" t="str">
            <v>0016100</v>
          </cell>
          <cell r="C26" t="str">
            <v>YES</v>
          </cell>
        </row>
        <row r="27">
          <cell r="B27" t="str">
            <v>0016110</v>
          </cell>
          <cell r="C27" t="str">
            <v>YES</v>
          </cell>
        </row>
        <row r="28">
          <cell r="B28" t="str">
            <v>0016120</v>
          </cell>
          <cell r="C28" t="str">
            <v>YES</v>
          </cell>
        </row>
        <row r="29">
          <cell r="B29" t="str">
            <v>0016130</v>
          </cell>
          <cell r="C29" t="str">
            <v>YES</v>
          </cell>
        </row>
        <row r="31">
          <cell r="B31" t="str">
            <v>0016190</v>
          </cell>
          <cell r="C31" t="str">
            <v>YES</v>
          </cell>
        </row>
        <row r="32">
          <cell r="B32" t="str">
            <v>0016200</v>
          </cell>
          <cell r="C32" t="str">
            <v>YES</v>
          </cell>
        </row>
        <row r="34">
          <cell r="B34" t="str">
            <v>0016215</v>
          </cell>
          <cell r="C34" t="str">
            <v>YES</v>
          </cell>
        </row>
        <row r="35">
          <cell r="B35" t="str">
            <v>0016225</v>
          </cell>
          <cell r="C35" t="str">
            <v>YES</v>
          </cell>
        </row>
        <row r="36">
          <cell r="B36" t="str">
            <v>0016235</v>
          </cell>
          <cell r="C36" t="str">
            <v>YES</v>
          </cell>
        </row>
        <row r="38">
          <cell r="B38" t="str">
            <v>0016250</v>
          </cell>
          <cell r="C38" t="str">
            <v>YES</v>
          </cell>
        </row>
        <row r="39">
          <cell r="B39" t="str">
            <v>0016260</v>
          </cell>
          <cell r="C39" t="str">
            <v>YES</v>
          </cell>
        </row>
        <row r="40">
          <cell r="B40" t="str">
            <v>0016270</v>
          </cell>
          <cell r="C40" t="str">
            <v>YES</v>
          </cell>
        </row>
        <row r="41">
          <cell r="B41" t="str">
            <v>0016280</v>
          </cell>
          <cell r="C41" t="str">
            <v>YES</v>
          </cell>
        </row>
        <row r="42">
          <cell r="B42" t="str">
            <v>0016290</v>
          </cell>
          <cell r="C42" t="str">
            <v>YES</v>
          </cell>
        </row>
        <row r="43">
          <cell r="B43" t="str">
            <v>0016300</v>
          </cell>
          <cell r="C43" t="str">
            <v>YES</v>
          </cell>
        </row>
        <row r="44">
          <cell r="B44" t="str">
            <v>0016310</v>
          </cell>
          <cell r="C44" t="str">
            <v>YES</v>
          </cell>
        </row>
        <row r="45">
          <cell r="B45" t="str">
            <v>0016320</v>
          </cell>
          <cell r="C45" t="str">
            <v>YES</v>
          </cell>
        </row>
        <row r="46">
          <cell r="B46" t="str">
            <v>0016330</v>
          </cell>
          <cell r="C46" t="str">
            <v>YES</v>
          </cell>
        </row>
        <row r="51">
          <cell r="B51" t="str">
            <v>0025580</v>
          </cell>
          <cell r="C51" t="str">
            <v>YES</v>
          </cell>
        </row>
        <row r="52">
          <cell r="B52" t="str">
            <v>0025590</v>
          </cell>
          <cell r="C52" t="str">
            <v>YES</v>
          </cell>
        </row>
        <row r="53">
          <cell r="B53" t="str">
            <v>0025600</v>
          </cell>
          <cell r="C53" t="str">
            <v>YES</v>
          </cell>
        </row>
        <row r="54">
          <cell r="B54" t="str">
            <v>0025610</v>
          </cell>
          <cell r="C54" t="str">
            <v>YES</v>
          </cell>
        </row>
        <row r="55">
          <cell r="B55" t="str">
            <v>0025620</v>
          </cell>
          <cell r="C55" t="str">
            <v>YES</v>
          </cell>
        </row>
        <row r="56">
          <cell r="B56" t="str">
            <v>0025630</v>
          </cell>
          <cell r="C56" t="str">
            <v>YES</v>
          </cell>
        </row>
        <row r="57">
          <cell r="B57" t="str">
            <v>0025640</v>
          </cell>
          <cell r="C57" t="str">
            <v>YES</v>
          </cell>
        </row>
        <row r="58">
          <cell r="B58" t="str">
            <v>0025650</v>
          </cell>
          <cell r="C58" t="str">
            <v>YES</v>
          </cell>
        </row>
        <row r="60">
          <cell r="B60" t="str">
            <v>0025665</v>
          </cell>
          <cell r="C60" t="str">
            <v>YES</v>
          </cell>
        </row>
        <row r="61">
          <cell r="B61" t="str">
            <v>0025675</v>
          </cell>
          <cell r="C61" t="str">
            <v>YES</v>
          </cell>
        </row>
        <row r="62">
          <cell r="B62" t="str">
            <v>0025685</v>
          </cell>
          <cell r="C62" t="str">
            <v>YES</v>
          </cell>
        </row>
        <row r="64">
          <cell r="B64" t="str">
            <v>0025700</v>
          </cell>
          <cell r="C64" t="str">
            <v>YES</v>
          </cell>
        </row>
        <row r="65">
          <cell r="B65" t="str">
            <v>0025710</v>
          </cell>
          <cell r="C65" t="str">
            <v>YES</v>
          </cell>
        </row>
        <row r="67">
          <cell r="B67" t="str">
            <v>0025725</v>
          </cell>
          <cell r="C67" t="str">
            <v>YES</v>
          </cell>
        </row>
        <row r="68">
          <cell r="B68" t="str">
            <v>0025735</v>
          </cell>
          <cell r="C68" t="str">
            <v>YES</v>
          </cell>
        </row>
        <row r="69">
          <cell r="B69" t="str">
            <v>0025745</v>
          </cell>
          <cell r="C69" t="str">
            <v>YES</v>
          </cell>
        </row>
        <row r="71">
          <cell r="B71" t="str">
            <v>0025805</v>
          </cell>
          <cell r="C71" t="str">
            <v>YES</v>
          </cell>
        </row>
        <row r="72">
          <cell r="B72" t="str">
            <v>0025815</v>
          </cell>
          <cell r="C72" t="str">
            <v>YES</v>
          </cell>
        </row>
        <row r="74">
          <cell r="B74" t="str">
            <v>0025875</v>
          </cell>
          <cell r="C74" t="str">
            <v>YES</v>
          </cell>
        </row>
        <row r="75">
          <cell r="B75" t="str">
            <v>0025885</v>
          </cell>
          <cell r="C75" t="str">
            <v>YES</v>
          </cell>
        </row>
        <row r="76">
          <cell r="B76" t="str">
            <v>0025895</v>
          </cell>
          <cell r="C76" t="str">
            <v>YES</v>
          </cell>
        </row>
        <row r="78">
          <cell r="B78" t="str">
            <v>0025910</v>
          </cell>
          <cell r="C78" t="str">
            <v>YES</v>
          </cell>
        </row>
        <row r="79">
          <cell r="B79" t="str">
            <v>0025920</v>
          </cell>
          <cell r="C79" t="str">
            <v>YES</v>
          </cell>
        </row>
        <row r="80">
          <cell r="B80" t="str">
            <v>0025930</v>
          </cell>
          <cell r="C80" t="str">
            <v>YES</v>
          </cell>
        </row>
        <row r="81">
          <cell r="B81" t="str">
            <v>0025940</v>
          </cell>
          <cell r="C81" t="str">
            <v>YES</v>
          </cell>
        </row>
        <row r="82">
          <cell r="B82" t="str">
            <v>0025950</v>
          </cell>
          <cell r="C82" t="str">
            <v>YES</v>
          </cell>
        </row>
        <row r="83">
          <cell r="B83" t="str">
            <v>0025960</v>
          </cell>
          <cell r="C83" t="str">
            <v>YES</v>
          </cell>
        </row>
        <row r="84">
          <cell r="B84" t="str">
            <v>0025970</v>
          </cell>
          <cell r="C84" t="str">
            <v>YES</v>
          </cell>
        </row>
        <row r="85">
          <cell r="B85" t="str">
            <v>0025980</v>
          </cell>
          <cell r="C85" t="str">
            <v>YES</v>
          </cell>
        </row>
        <row r="86">
          <cell r="B86" t="str">
            <v>0025990</v>
          </cell>
          <cell r="C86" t="str">
            <v>YES</v>
          </cell>
        </row>
        <row r="89">
          <cell r="B89" t="str">
            <v>0026045</v>
          </cell>
          <cell r="C89" t="str">
            <v>YES</v>
          </cell>
        </row>
        <row r="90">
          <cell r="B90" t="str">
            <v>0026055</v>
          </cell>
          <cell r="C90" t="str">
            <v>YES</v>
          </cell>
        </row>
        <row r="91">
          <cell r="B91" t="str">
            <v>0026065</v>
          </cell>
          <cell r="C91" t="str">
            <v>YES</v>
          </cell>
        </row>
        <row r="93">
          <cell r="B93" t="str">
            <v>0026080</v>
          </cell>
          <cell r="C93" t="str">
            <v>YES</v>
          </cell>
        </row>
        <row r="94">
          <cell r="B94" t="str">
            <v>0026090</v>
          </cell>
          <cell r="C94" t="str">
            <v>YES</v>
          </cell>
        </row>
        <row r="95">
          <cell r="B95" t="str">
            <v>0026100</v>
          </cell>
          <cell r="C95" t="str">
            <v>YES</v>
          </cell>
        </row>
        <row r="96">
          <cell r="B96" t="str">
            <v>0026110</v>
          </cell>
          <cell r="C96" t="str">
            <v>YES</v>
          </cell>
        </row>
        <row r="97">
          <cell r="B97" t="str">
            <v>0026120</v>
          </cell>
          <cell r="C97" t="str">
            <v>YES</v>
          </cell>
        </row>
        <row r="98">
          <cell r="B98" t="str">
            <v>0026130</v>
          </cell>
          <cell r="C98" t="str">
            <v>YES</v>
          </cell>
        </row>
        <row r="100">
          <cell r="B100" t="str">
            <v>0026145</v>
          </cell>
          <cell r="C100" t="str">
            <v>YES</v>
          </cell>
        </row>
        <row r="101">
          <cell r="B101" t="str">
            <v>0026155</v>
          </cell>
          <cell r="C101" t="str">
            <v>YES</v>
          </cell>
        </row>
        <row r="102">
          <cell r="B102" t="str">
            <v>0026165</v>
          </cell>
          <cell r="C102" t="str">
            <v>YES</v>
          </cell>
        </row>
        <row r="104">
          <cell r="B104" t="str">
            <v>0026180</v>
          </cell>
          <cell r="C104" t="str">
            <v>YES</v>
          </cell>
        </row>
        <row r="105">
          <cell r="B105" t="str">
            <v>0026190</v>
          </cell>
          <cell r="C105" t="str">
            <v>YES</v>
          </cell>
        </row>
        <row r="107">
          <cell r="B107" t="str">
            <v>0026205</v>
          </cell>
          <cell r="C107" t="str">
            <v>YES</v>
          </cell>
        </row>
        <row r="108">
          <cell r="B108" t="str">
            <v>0026215</v>
          </cell>
          <cell r="C108" t="str">
            <v>YES</v>
          </cell>
        </row>
        <row r="109">
          <cell r="B109" t="str">
            <v>0026225</v>
          </cell>
          <cell r="C109" t="str">
            <v>YES</v>
          </cell>
        </row>
        <row r="111">
          <cell r="B111" t="str">
            <v>0026285</v>
          </cell>
          <cell r="C111" t="str">
            <v>YES</v>
          </cell>
        </row>
        <row r="112">
          <cell r="B112" t="str">
            <v>0026295</v>
          </cell>
          <cell r="C112" t="str">
            <v>YES</v>
          </cell>
        </row>
        <row r="114">
          <cell r="B114" t="str">
            <v>0026350</v>
          </cell>
          <cell r="C114" t="str">
            <v>YES</v>
          </cell>
        </row>
        <row r="115">
          <cell r="B115" t="str">
            <v>0026360</v>
          </cell>
          <cell r="C115" t="str">
            <v>YES</v>
          </cell>
        </row>
        <row r="116">
          <cell r="B116" t="str">
            <v>0026370</v>
          </cell>
          <cell r="C116" t="str">
            <v>YES</v>
          </cell>
        </row>
        <row r="118">
          <cell r="B118" t="str">
            <v>0026385</v>
          </cell>
          <cell r="C118" t="str">
            <v>YES</v>
          </cell>
        </row>
        <row r="119">
          <cell r="B119" t="str">
            <v>0026395</v>
          </cell>
          <cell r="C119" t="str">
            <v>YES</v>
          </cell>
        </row>
        <row r="120">
          <cell r="B120" t="str">
            <v>0026405</v>
          </cell>
          <cell r="C120" t="str">
            <v>YES</v>
          </cell>
        </row>
        <row r="121">
          <cell r="B121" t="str">
            <v>0026415</v>
          </cell>
          <cell r="C121" t="str">
            <v>YES</v>
          </cell>
        </row>
        <row r="122">
          <cell r="B122" t="str">
            <v>0026425</v>
          </cell>
          <cell r="C122" t="str">
            <v>YES</v>
          </cell>
        </row>
        <row r="123">
          <cell r="B123" t="str">
            <v>0026435</v>
          </cell>
          <cell r="C123" t="str">
            <v>YES</v>
          </cell>
        </row>
        <row r="124">
          <cell r="B124" t="str">
            <v>0026445</v>
          </cell>
          <cell r="C124" t="str">
            <v>YES</v>
          </cell>
        </row>
        <row r="125">
          <cell r="B125" t="str">
            <v>0026455</v>
          </cell>
          <cell r="C125" t="str">
            <v>YES</v>
          </cell>
        </row>
        <row r="126">
          <cell r="B126" t="str">
            <v>0026465</v>
          </cell>
          <cell r="C126" t="str">
            <v>YES</v>
          </cell>
        </row>
        <row r="129">
          <cell r="B129" t="str">
            <v>0026515</v>
          </cell>
          <cell r="C129" t="str">
            <v>YES</v>
          </cell>
        </row>
        <row r="130">
          <cell r="B130" t="str">
            <v>0026525</v>
          </cell>
          <cell r="C130" t="str">
            <v>YES</v>
          </cell>
        </row>
        <row r="131">
          <cell r="B131" t="str">
            <v>0026535</v>
          </cell>
          <cell r="C131" t="str">
            <v>YES</v>
          </cell>
        </row>
        <row r="132">
          <cell r="B132" t="str">
            <v>0026545</v>
          </cell>
          <cell r="C132" t="str">
            <v>YES</v>
          </cell>
        </row>
        <row r="133">
          <cell r="B133" t="str">
            <v>0026550</v>
          </cell>
          <cell r="C133" t="str">
            <v>YES</v>
          </cell>
        </row>
        <row r="134">
          <cell r="B134" t="str">
            <v>0026555</v>
          </cell>
          <cell r="C134" t="str">
            <v>YES</v>
          </cell>
        </row>
        <row r="135">
          <cell r="B135" t="str">
            <v>0026565</v>
          </cell>
          <cell r="C135" t="str">
            <v>YES</v>
          </cell>
        </row>
        <row r="136">
          <cell r="B136" t="str">
            <v>0026575</v>
          </cell>
          <cell r="C136" t="str">
            <v>YES</v>
          </cell>
        </row>
        <row r="137">
          <cell r="B137" t="str">
            <v>0026585</v>
          </cell>
          <cell r="C137" t="str">
            <v>YES</v>
          </cell>
        </row>
        <row r="139">
          <cell r="B139" t="str">
            <v>0026600</v>
          </cell>
          <cell r="C139" t="str">
            <v>YES</v>
          </cell>
        </row>
        <row r="140">
          <cell r="B140" t="str">
            <v>0026610</v>
          </cell>
          <cell r="C140" t="str">
            <v>YES</v>
          </cell>
        </row>
        <row r="141">
          <cell r="B141" t="str">
            <v>0026620</v>
          </cell>
          <cell r="C141" t="str">
            <v>YES</v>
          </cell>
        </row>
        <row r="143">
          <cell r="B143" t="str">
            <v>0026635</v>
          </cell>
          <cell r="C143" t="str">
            <v>YES</v>
          </cell>
        </row>
        <row r="144">
          <cell r="B144" t="str">
            <v>0026645</v>
          </cell>
          <cell r="C144" t="str">
            <v>YES</v>
          </cell>
        </row>
        <row r="146">
          <cell r="B146" t="str">
            <v>0026660</v>
          </cell>
          <cell r="C146" t="str">
            <v>YES</v>
          </cell>
        </row>
        <row r="147">
          <cell r="B147" t="str">
            <v>0026670</v>
          </cell>
          <cell r="C147" t="str">
            <v>YES</v>
          </cell>
        </row>
        <row r="148">
          <cell r="B148" t="str">
            <v>0026680</v>
          </cell>
          <cell r="C148" t="str">
            <v>YES</v>
          </cell>
        </row>
        <row r="150">
          <cell r="B150" t="str">
            <v>0026740</v>
          </cell>
          <cell r="C150" t="str">
            <v>YES</v>
          </cell>
        </row>
        <row r="151">
          <cell r="B151" t="str">
            <v>0026750</v>
          </cell>
          <cell r="C151" t="str">
            <v>YES</v>
          </cell>
        </row>
        <row r="153">
          <cell r="B153" t="str">
            <v>0026800</v>
          </cell>
          <cell r="C153" t="str">
            <v>YES</v>
          </cell>
        </row>
        <row r="154">
          <cell r="B154" t="str">
            <v>0026810</v>
          </cell>
          <cell r="C154" t="str">
            <v>YES</v>
          </cell>
        </row>
        <row r="155">
          <cell r="B155" t="str">
            <v>0026820</v>
          </cell>
          <cell r="C155" t="str">
            <v>YES</v>
          </cell>
        </row>
        <row r="157">
          <cell r="B157" t="str">
            <v>0026835</v>
          </cell>
          <cell r="C157" t="str">
            <v>YES</v>
          </cell>
        </row>
        <row r="158">
          <cell r="B158" t="str">
            <v>0026845</v>
          </cell>
          <cell r="C158" t="str">
            <v>YES</v>
          </cell>
        </row>
        <row r="159">
          <cell r="B159" t="str">
            <v>0026855</v>
          </cell>
          <cell r="C159" t="str">
            <v>YES</v>
          </cell>
        </row>
        <row r="160">
          <cell r="B160" t="str">
            <v>0026865</v>
          </cell>
          <cell r="C160" t="str">
            <v>YES</v>
          </cell>
        </row>
        <row r="161">
          <cell r="B161" t="str">
            <v>0026875</v>
          </cell>
          <cell r="C161" t="str">
            <v>YES</v>
          </cell>
        </row>
        <row r="162">
          <cell r="B162" t="str">
            <v>0026885</v>
          </cell>
          <cell r="C162" t="str">
            <v>YES</v>
          </cell>
        </row>
        <row r="163">
          <cell r="B163" t="str">
            <v>0026895</v>
          </cell>
          <cell r="C163" t="str">
            <v>YES</v>
          </cell>
        </row>
        <row r="164">
          <cell r="B164" t="str">
            <v>0026905</v>
          </cell>
          <cell r="C164" t="str">
            <v>YES</v>
          </cell>
        </row>
        <row r="165">
          <cell r="B165" t="str">
            <v>0026915</v>
          </cell>
          <cell r="C165" t="str">
            <v>YES</v>
          </cell>
        </row>
        <row r="168">
          <cell r="B168" t="str">
            <v>0026965</v>
          </cell>
          <cell r="C168" t="str">
            <v>YES</v>
          </cell>
        </row>
        <row r="169">
          <cell r="B169" t="str">
            <v>0026975</v>
          </cell>
          <cell r="C169" t="str">
            <v>YES</v>
          </cell>
        </row>
        <row r="170">
          <cell r="B170" t="str">
            <v>0026985</v>
          </cell>
          <cell r="C170" t="str">
            <v>YES</v>
          </cell>
        </row>
        <row r="171">
          <cell r="B171" t="str">
            <v>0026995</v>
          </cell>
          <cell r="C171" t="str">
            <v>YES</v>
          </cell>
        </row>
        <row r="172">
          <cell r="B172" t="str">
            <v>0027005</v>
          </cell>
          <cell r="C172" t="str">
            <v>YES</v>
          </cell>
        </row>
        <row r="173">
          <cell r="B173" t="str">
            <v>0027015</v>
          </cell>
          <cell r="C173" t="str">
            <v>YES</v>
          </cell>
        </row>
        <row r="175">
          <cell r="B175" t="str">
            <v>0027030</v>
          </cell>
          <cell r="C175" t="str">
            <v>YES</v>
          </cell>
        </row>
        <row r="176">
          <cell r="B176" t="str">
            <v>0027040</v>
          </cell>
          <cell r="C176" t="str">
            <v>YES</v>
          </cell>
        </row>
        <row r="177">
          <cell r="B177" t="str">
            <v>0027050</v>
          </cell>
          <cell r="C177" t="str">
            <v>YES</v>
          </cell>
        </row>
        <row r="179">
          <cell r="B179" t="str">
            <v>0027065</v>
          </cell>
          <cell r="C179" t="str">
            <v>YES</v>
          </cell>
        </row>
        <row r="180">
          <cell r="B180" t="str">
            <v>0027075</v>
          </cell>
          <cell r="C180" t="str">
            <v>YES</v>
          </cell>
        </row>
        <row r="182">
          <cell r="B182" t="str">
            <v>0027090</v>
          </cell>
          <cell r="C182" t="str">
            <v>YES</v>
          </cell>
        </row>
        <row r="183">
          <cell r="B183" t="str">
            <v>0027100</v>
          </cell>
          <cell r="C183" t="str">
            <v>YES</v>
          </cell>
        </row>
        <row r="184">
          <cell r="B184" t="str">
            <v>0027110</v>
          </cell>
          <cell r="C184" t="str">
            <v>YES</v>
          </cell>
        </row>
        <row r="186">
          <cell r="B186" t="str">
            <v>0027170</v>
          </cell>
          <cell r="C186" t="str">
            <v>YES</v>
          </cell>
        </row>
        <row r="187">
          <cell r="B187" t="str">
            <v>0027180</v>
          </cell>
          <cell r="C187" t="str">
            <v>YES</v>
          </cell>
        </row>
        <row r="189">
          <cell r="B189" t="str">
            <v>0027230</v>
          </cell>
          <cell r="C189" t="str">
            <v>YES</v>
          </cell>
        </row>
        <row r="190">
          <cell r="B190" t="str">
            <v>0027240</v>
          </cell>
          <cell r="C190" t="str">
            <v>YES</v>
          </cell>
        </row>
        <row r="191">
          <cell r="B191" t="str">
            <v>0027250</v>
          </cell>
          <cell r="C191" t="str">
            <v>YES</v>
          </cell>
        </row>
        <row r="193">
          <cell r="B193" t="str">
            <v>0027265</v>
          </cell>
          <cell r="C193" t="str">
            <v>YES</v>
          </cell>
        </row>
        <row r="194">
          <cell r="B194" t="str">
            <v>0027275</v>
          </cell>
          <cell r="C194" t="str">
            <v>YES</v>
          </cell>
        </row>
        <row r="195">
          <cell r="B195" t="str">
            <v>0027285</v>
          </cell>
          <cell r="C195" t="str">
            <v>YES</v>
          </cell>
        </row>
        <row r="196">
          <cell r="B196" t="str">
            <v>0027295</v>
          </cell>
          <cell r="C196" t="str">
            <v>YES</v>
          </cell>
        </row>
        <row r="197">
          <cell r="B197" t="str">
            <v>0027305</v>
          </cell>
          <cell r="C197" t="str">
            <v>YES</v>
          </cell>
        </row>
        <row r="198">
          <cell r="B198" t="str">
            <v>0027315</v>
          </cell>
          <cell r="C198" t="str">
            <v>YES</v>
          </cell>
        </row>
        <row r="199">
          <cell r="B199" t="str">
            <v>0027325</v>
          </cell>
          <cell r="C199" t="str">
            <v>YES</v>
          </cell>
        </row>
        <row r="200">
          <cell r="B200" t="str">
            <v>0027335</v>
          </cell>
          <cell r="C200" t="str">
            <v>YES</v>
          </cell>
        </row>
        <row r="201">
          <cell r="B201" t="str">
            <v>0027345</v>
          </cell>
          <cell r="C201" t="str">
            <v>YES</v>
          </cell>
        </row>
        <row r="206">
          <cell r="B206" t="str">
            <v>0028905</v>
          </cell>
          <cell r="C206" t="str">
            <v>YES</v>
          </cell>
        </row>
        <row r="207">
          <cell r="B207" t="str">
            <v>0028915</v>
          </cell>
          <cell r="C207" t="str">
            <v>YES</v>
          </cell>
        </row>
        <row r="208">
          <cell r="B208" t="str">
            <v>0028925</v>
          </cell>
          <cell r="C208" t="str">
            <v>YES</v>
          </cell>
        </row>
        <row r="209">
          <cell r="B209" t="str">
            <v>0028935</v>
          </cell>
          <cell r="C209" t="str">
            <v>YES</v>
          </cell>
        </row>
        <row r="210">
          <cell r="B210" t="str">
            <v>0028945</v>
          </cell>
          <cell r="C210" t="str">
            <v>YES</v>
          </cell>
        </row>
        <row r="211">
          <cell r="B211" t="str">
            <v>0028955</v>
          </cell>
          <cell r="C211" t="str">
            <v>YES</v>
          </cell>
        </row>
        <row r="213">
          <cell r="B213" t="str">
            <v>0028970</v>
          </cell>
          <cell r="C213" t="str">
            <v>YES</v>
          </cell>
        </row>
        <row r="214">
          <cell r="B214" t="str">
            <v>0028980</v>
          </cell>
          <cell r="C214" t="str">
            <v>YES</v>
          </cell>
        </row>
        <row r="215">
          <cell r="B215" t="str">
            <v>0028990</v>
          </cell>
          <cell r="C215" t="str">
            <v>YES</v>
          </cell>
        </row>
        <row r="217">
          <cell r="B217" t="str">
            <v>0029005</v>
          </cell>
          <cell r="C217" t="str">
            <v>YES</v>
          </cell>
        </row>
        <row r="218">
          <cell r="B218" t="str">
            <v>0029015</v>
          </cell>
          <cell r="C218" t="str">
            <v>YES</v>
          </cell>
        </row>
        <row r="220">
          <cell r="B220" t="str">
            <v>0029030</v>
          </cell>
          <cell r="C220" t="str">
            <v>YES</v>
          </cell>
        </row>
        <row r="221">
          <cell r="B221" t="str">
            <v>0029040</v>
          </cell>
          <cell r="C221" t="str">
            <v>YES</v>
          </cell>
        </row>
        <row r="222">
          <cell r="B222" t="str">
            <v>0029050</v>
          </cell>
          <cell r="C222" t="str">
            <v>YES</v>
          </cell>
        </row>
        <row r="224">
          <cell r="B224" t="str">
            <v>0029110</v>
          </cell>
          <cell r="C224" t="str">
            <v>YES</v>
          </cell>
        </row>
        <row r="225">
          <cell r="B225" t="str">
            <v>0029120</v>
          </cell>
          <cell r="C225" t="str">
            <v>YES</v>
          </cell>
        </row>
        <row r="227">
          <cell r="B227" t="str">
            <v>0029170</v>
          </cell>
          <cell r="C227" t="str">
            <v>YES</v>
          </cell>
        </row>
        <row r="228">
          <cell r="B228" t="str">
            <v>0029180</v>
          </cell>
          <cell r="C228" t="str">
            <v>YES</v>
          </cell>
        </row>
        <row r="229">
          <cell r="B229" t="str">
            <v>0029190</v>
          </cell>
          <cell r="C229" t="str">
            <v>YES</v>
          </cell>
        </row>
        <row r="231">
          <cell r="B231" t="str">
            <v>0029205</v>
          </cell>
          <cell r="C231" t="str">
            <v>YES</v>
          </cell>
        </row>
        <row r="232">
          <cell r="B232" t="str">
            <v>0029215</v>
          </cell>
          <cell r="C232" t="str">
            <v>YES</v>
          </cell>
        </row>
        <row r="233">
          <cell r="B233" t="str">
            <v>0029225</v>
          </cell>
          <cell r="C233" t="str">
            <v>YES</v>
          </cell>
        </row>
        <row r="234">
          <cell r="B234" t="str">
            <v>0029235</v>
          </cell>
          <cell r="C234" t="str">
            <v>YES</v>
          </cell>
        </row>
        <row r="235">
          <cell r="B235" t="str">
            <v>0029245</v>
          </cell>
          <cell r="C235" t="str">
            <v>YES</v>
          </cell>
        </row>
        <row r="236">
          <cell r="B236" t="str">
            <v>0029255</v>
          </cell>
          <cell r="C236" t="str">
            <v>YES</v>
          </cell>
        </row>
        <row r="237">
          <cell r="B237" t="str">
            <v>0029265</v>
          </cell>
          <cell r="C237" t="str">
            <v>YES</v>
          </cell>
        </row>
        <row r="238">
          <cell r="B238" t="str">
            <v>0029275</v>
          </cell>
          <cell r="C238" t="str">
            <v>YES</v>
          </cell>
        </row>
        <row r="239">
          <cell r="B239" t="str">
            <v>0029285</v>
          </cell>
          <cell r="C239" t="str">
            <v>YES</v>
          </cell>
        </row>
        <row r="243">
          <cell r="B243" t="str">
            <v>0032205</v>
          </cell>
          <cell r="C243" t="str">
            <v>YES</v>
          </cell>
        </row>
        <row r="244">
          <cell r="B244" t="str">
            <v>0032215</v>
          </cell>
          <cell r="C244" t="str">
            <v>YES</v>
          </cell>
        </row>
        <row r="245">
          <cell r="B245" t="str">
            <v>0032225</v>
          </cell>
          <cell r="C245" t="str">
            <v>YES</v>
          </cell>
        </row>
        <row r="246">
          <cell r="B246" t="str">
            <v>0032235</v>
          </cell>
          <cell r="C246" t="str">
            <v>YES</v>
          </cell>
        </row>
        <row r="247">
          <cell r="B247" t="str">
            <v>0032245</v>
          </cell>
          <cell r="C247" t="str">
            <v>YES</v>
          </cell>
        </row>
        <row r="248">
          <cell r="B248" t="str">
            <v>0032255</v>
          </cell>
          <cell r="C248" t="str">
            <v>YES</v>
          </cell>
        </row>
        <row r="249">
          <cell r="B249" t="str">
            <v>0032265</v>
          </cell>
          <cell r="C249" t="str">
            <v>YES</v>
          </cell>
        </row>
        <row r="251">
          <cell r="B251" t="str">
            <v>0032280</v>
          </cell>
          <cell r="C251" t="str">
            <v>YES</v>
          </cell>
        </row>
        <row r="252">
          <cell r="B252" t="str">
            <v>0032290</v>
          </cell>
          <cell r="C252" t="str">
            <v>YES</v>
          </cell>
        </row>
        <row r="253">
          <cell r="B253" t="str">
            <v>0032300</v>
          </cell>
          <cell r="C253" t="str">
            <v>YES</v>
          </cell>
        </row>
        <row r="255">
          <cell r="B255" t="str">
            <v>0032315</v>
          </cell>
          <cell r="C255" t="str">
            <v>YES</v>
          </cell>
        </row>
        <row r="256">
          <cell r="B256" t="str">
            <v>0032325</v>
          </cell>
          <cell r="C256" t="str">
            <v>YES</v>
          </cell>
        </row>
        <row r="258">
          <cell r="B258" t="str">
            <v>0032340</v>
          </cell>
          <cell r="C258" t="str">
            <v>YES</v>
          </cell>
        </row>
        <row r="259">
          <cell r="B259" t="str">
            <v>0032350</v>
          </cell>
          <cell r="C259" t="str">
            <v>YES</v>
          </cell>
        </row>
        <row r="260">
          <cell r="B260" t="str">
            <v>0032360</v>
          </cell>
          <cell r="C260" t="str">
            <v>YES</v>
          </cell>
        </row>
        <row r="262">
          <cell r="B262" t="str">
            <v>0032420</v>
          </cell>
          <cell r="C262" t="str">
            <v>YES</v>
          </cell>
        </row>
        <row r="263">
          <cell r="B263" t="str">
            <v>0032430</v>
          </cell>
          <cell r="C263" t="str">
            <v>YES</v>
          </cell>
        </row>
        <row r="265">
          <cell r="B265" t="str">
            <v>0032555</v>
          </cell>
          <cell r="C265" t="str">
            <v>YES</v>
          </cell>
        </row>
        <row r="266">
          <cell r="B266" t="str">
            <v>0032565</v>
          </cell>
          <cell r="C266" t="str">
            <v>YES</v>
          </cell>
        </row>
        <row r="267">
          <cell r="B267" t="str">
            <v>0032575</v>
          </cell>
          <cell r="C267" t="str">
            <v>YES</v>
          </cell>
        </row>
        <row r="269">
          <cell r="B269" t="str">
            <v>0032590</v>
          </cell>
          <cell r="C269" t="str">
            <v>YES</v>
          </cell>
        </row>
        <row r="270">
          <cell r="B270" t="str">
            <v>0032600</v>
          </cell>
          <cell r="C270" t="str">
            <v>YES</v>
          </cell>
        </row>
        <row r="271">
          <cell r="B271" t="str">
            <v>0032610</v>
          </cell>
          <cell r="C271" t="str">
            <v>YES</v>
          </cell>
        </row>
        <row r="272">
          <cell r="B272" t="str">
            <v>0032620</v>
          </cell>
          <cell r="C272" t="str">
            <v>YES</v>
          </cell>
        </row>
        <row r="273">
          <cell r="B273" t="str">
            <v>0032630</v>
          </cell>
          <cell r="C273" t="str">
            <v>YES</v>
          </cell>
        </row>
        <row r="274">
          <cell r="B274" t="str">
            <v>0032640</v>
          </cell>
          <cell r="C274" t="str">
            <v>YES</v>
          </cell>
        </row>
        <row r="275">
          <cell r="B275" t="str">
            <v>0032650</v>
          </cell>
          <cell r="C275" t="str">
            <v>YES</v>
          </cell>
        </row>
        <row r="276">
          <cell r="B276" t="str">
            <v>0032660</v>
          </cell>
          <cell r="C276" t="str">
            <v>YES</v>
          </cell>
        </row>
        <row r="277">
          <cell r="B277" t="str">
            <v>0032670</v>
          </cell>
          <cell r="C277" t="str">
            <v>YES</v>
          </cell>
        </row>
        <row r="278">
          <cell r="B278" t="str">
            <v>0032680</v>
          </cell>
          <cell r="C278" t="str">
            <v>YES</v>
          </cell>
        </row>
        <row r="282">
          <cell r="B282" t="str">
            <v>0043980</v>
          </cell>
          <cell r="C282" t="str">
            <v>YES</v>
          </cell>
        </row>
        <row r="283">
          <cell r="B283" t="str">
            <v>0043990</v>
          </cell>
          <cell r="C283" t="str">
            <v>YES</v>
          </cell>
        </row>
        <row r="284">
          <cell r="B284" t="str">
            <v>0044000</v>
          </cell>
          <cell r="C284" t="str">
            <v>YES</v>
          </cell>
        </row>
        <row r="285">
          <cell r="B285" t="str">
            <v>0044010</v>
          </cell>
          <cell r="C285" t="str">
            <v>YES</v>
          </cell>
        </row>
        <row r="286">
          <cell r="B286" t="str">
            <v>0044012</v>
          </cell>
          <cell r="C286" t="str">
            <v>YES</v>
          </cell>
        </row>
        <row r="287">
          <cell r="B287" t="str">
            <v>0044013</v>
          </cell>
          <cell r="C287" t="str">
            <v>YES</v>
          </cell>
        </row>
        <row r="289">
          <cell r="B289" t="str">
            <v>0044025</v>
          </cell>
          <cell r="C289" t="str">
            <v>YES</v>
          </cell>
        </row>
        <row r="290">
          <cell r="B290" t="str">
            <v>0044035</v>
          </cell>
          <cell r="C290" t="str">
            <v>YES</v>
          </cell>
        </row>
        <row r="291">
          <cell r="B291" t="str">
            <v>0044045</v>
          </cell>
          <cell r="C291" t="str">
            <v>YES</v>
          </cell>
        </row>
        <row r="293">
          <cell r="B293" t="str">
            <v>0044060</v>
          </cell>
          <cell r="C293" t="str">
            <v>YES</v>
          </cell>
        </row>
        <row r="294">
          <cell r="B294" t="str">
            <v>0044070</v>
          </cell>
          <cell r="C294" t="str">
            <v>YES</v>
          </cell>
        </row>
        <row r="295">
          <cell r="B295" t="str">
            <v>0044080</v>
          </cell>
          <cell r="C295" t="str">
            <v>YES</v>
          </cell>
        </row>
        <row r="296">
          <cell r="B296" t="str">
            <v>0044090</v>
          </cell>
          <cell r="C296" t="str">
            <v>YES</v>
          </cell>
        </row>
        <row r="298">
          <cell r="B298" t="str">
            <v>0044105</v>
          </cell>
          <cell r="C298" t="str">
            <v>YES</v>
          </cell>
        </row>
        <row r="299">
          <cell r="B299" t="str">
            <v>0044115</v>
          </cell>
          <cell r="C299" t="str">
            <v>YES</v>
          </cell>
        </row>
        <row r="300">
          <cell r="B300" t="str">
            <v>0044125</v>
          </cell>
          <cell r="C300" t="str">
            <v>YES</v>
          </cell>
        </row>
        <row r="301">
          <cell r="B301" t="str">
            <v>0044135</v>
          </cell>
          <cell r="C301" t="str">
            <v>YES</v>
          </cell>
        </row>
        <row r="303">
          <cell r="B303" t="str">
            <v>0044195</v>
          </cell>
          <cell r="C303" t="str">
            <v>YES</v>
          </cell>
        </row>
        <row r="304">
          <cell r="B304" t="str">
            <v>0044205</v>
          </cell>
          <cell r="C304" t="str">
            <v>YES</v>
          </cell>
        </row>
        <row r="306">
          <cell r="B306" t="str">
            <v>0044255</v>
          </cell>
          <cell r="C306" t="str">
            <v>YES</v>
          </cell>
        </row>
        <row r="307">
          <cell r="B307" t="str">
            <v>0044265</v>
          </cell>
          <cell r="C307" t="str">
            <v>YES</v>
          </cell>
        </row>
        <row r="308">
          <cell r="B308" t="str">
            <v>0044275</v>
          </cell>
          <cell r="C308" t="str">
            <v>YES</v>
          </cell>
        </row>
        <row r="310">
          <cell r="B310" t="str">
            <v>0044290</v>
          </cell>
          <cell r="C310" t="str">
            <v>YES</v>
          </cell>
        </row>
        <row r="311">
          <cell r="B311" t="str">
            <v>0044300</v>
          </cell>
          <cell r="C311" t="str">
            <v>YES</v>
          </cell>
        </row>
        <row r="312">
          <cell r="B312" t="str">
            <v>0044310</v>
          </cell>
          <cell r="C312" t="str">
            <v>YES</v>
          </cell>
        </row>
        <row r="313">
          <cell r="B313" t="str">
            <v>0044320</v>
          </cell>
          <cell r="C313" t="str">
            <v>YES</v>
          </cell>
        </row>
        <row r="314">
          <cell r="B314" t="str">
            <v>0044330</v>
          </cell>
          <cell r="C314" t="str">
            <v>YES</v>
          </cell>
        </row>
        <row r="315">
          <cell r="B315" t="str">
            <v>0044340</v>
          </cell>
          <cell r="C315" t="str">
            <v>YES</v>
          </cell>
        </row>
        <row r="316">
          <cell r="B316" t="str">
            <v>0044350</v>
          </cell>
          <cell r="C316" t="str">
            <v>YES</v>
          </cell>
        </row>
        <row r="317">
          <cell r="B317" t="str">
            <v>0044360</v>
          </cell>
          <cell r="C317" t="str">
            <v>YES</v>
          </cell>
        </row>
        <row r="318">
          <cell r="B318" t="str">
            <v>0044370</v>
          </cell>
          <cell r="C318" t="str">
            <v>YES</v>
          </cell>
        </row>
      </sheetData>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15"/>
  <sheetViews>
    <sheetView workbookViewId="0">
      <selection activeCell="B8" sqref="B8"/>
    </sheetView>
  </sheetViews>
  <sheetFormatPr defaultColWidth="8.84375" defaultRowHeight="15.5"/>
  <cols>
    <col min="1" max="1" width="13.53515625" style="133" customWidth="1"/>
    <col min="2" max="2" width="43.4609375" style="133" customWidth="1"/>
    <col min="3" max="16384" width="8.84375" style="133"/>
  </cols>
  <sheetData>
    <row r="1" spans="1:2" s="468" customFormat="1" ht="18">
      <c r="A1" s="468" t="s">
        <v>215</v>
      </c>
      <c r="B1" s="468" t="s">
        <v>216</v>
      </c>
    </row>
    <row r="2" spans="1:2">
      <c r="A2" s="465" t="s">
        <v>217</v>
      </c>
      <c r="B2" s="469" t="s">
        <v>222</v>
      </c>
    </row>
    <row r="3" spans="1:2" ht="54" customHeight="1">
      <c r="B3" s="467" t="s">
        <v>227</v>
      </c>
    </row>
    <row r="4" spans="1:2">
      <c r="B4" s="467"/>
    </row>
    <row r="5" spans="1:2">
      <c r="A5" s="466" t="s">
        <v>218</v>
      </c>
      <c r="B5" s="469" t="s">
        <v>223</v>
      </c>
    </row>
    <row r="6" spans="1:2" ht="54" customHeight="1">
      <c r="B6" s="467" t="s">
        <v>228</v>
      </c>
    </row>
    <row r="7" spans="1:2">
      <c r="B7" s="467"/>
    </row>
    <row r="8" spans="1:2">
      <c r="A8" s="466" t="s">
        <v>219</v>
      </c>
      <c r="B8" s="469" t="s">
        <v>224</v>
      </c>
    </row>
    <row r="9" spans="1:2" ht="54" customHeight="1">
      <c r="B9" s="467" t="s">
        <v>229</v>
      </c>
    </row>
    <row r="10" spans="1:2">
      <c r="B10" s="467"/>
    </row>
    <row r="11" spans="1:2">
      <c r="A11" s="466" t="s">
        <v>220</v>
      </c>
      <c r="B11" s="469" t="s">
        <v>225</v>
      </c>
    </row>
    <row r="12" spans="1:2" ht="54" customHeight="1">
      <c r="B12" s="467" t="s">
        <v>231</v>
      </c>
    </row>
    <row r="13" spans="1:2">
      <c r="B13" s="467"/>
    </row>
    <row r="14" spans="1:2">
      <c r="A14" s="466" t="s">
        <v>221</v>
      </c>
      <c r="B14" s="469" t="s">
        <v>226</v>
      </c>
    </row>
    <row r="15" spans="1:2" ht="39" customHeight="1">
      <c r="B15" s="467" t="s">
        <v>230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05699-83E2-4101-B66A-6EBF3554D82A}">
  <dimension ref="A1:C8"/>
  <sheetViews>
    <sheetView workbookViewId="0">
      <selection activeCell="J14" sqref="J14"/>
    </sheetView>
  </sheetViews>
  <sheetFormatPr defaultRowHeight="15.5"/>
  <sheetData>
    <row r="1" spans="1:3">
      <c r="A1" s="616" t="s">
        <v>742</v>
      </c>
      <c r="B1" s="616" t="s">
        <v>605</v>
      </c>
      <c r="C1" s="616" t="s">
        <v>606</v>
      </c>
    </row>
    <row r="2" spans="1:3">
      <c r="A2" s="478"/>
      <c r="B2" s="478"/>
      <c r="C2" s="478"/>
    </row>
    <row r="3" spans="1:3">
      <c r="A3" s="478"/>
      <c r="B3" s="478"/>
      <c r="C3" s="478"/>
    </row>
    <row r="4" spans="1:3">
      <c r="A4" s="478"/>
      <c r="B4" s="478"/>
      <c r="C4" s="478"/>
    </row>
    <row r="5" spans="1:3">
      <c r="A5" s="478"/>
      <c r="B5" s="478"/>
      <c r="C5" s="478"/>
    </row>
    <row r="6" spans="1:3">
      <c r="A6" s="478"/>
      <c r="B6" s="478"/>
      <c r="C6" s="478"/>
    </row>
    <row r="7" spans="1:3">
      <c r="A7" s="478"/>
      <c r="B7" s="478"/>
      <c r="C7" s="478"/>
    </row>
    <row r="8" spans="1:3">
      <c r="A8" s="478" cm="1">
        <f t="array" ref="A8">INDEX('Master Mapping'!O:O, MATCH(TRUE, EXACT(TEXT(LEFT(TRIM(D8), 7), "@"), 'Master Mapping'!A:A), 0))</f>
        <v>0</v>
      </c>
      <c r="B8" s="478">
        <f>E8-C8</f>
        <v>0</v>
      </c>
      <c r="C8" s="478">
        <f>IFERROR(INDEX('[1]P&amp;L SR 1'!A:ZZ, MATCH(D8, '[1]P&amp;L SR 1'!B:B, 0), MATCH("TOTAL", '[1]P&amp;L SR 1'!$5:$5, 0)), 0)</f>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8E2A8-9787-4D2F-BA83-CC56B4AEF85C}">
  <dimension ref="A1:A8"/>
  <sheetViews>
    <sheetView workbookViewId="0">
      <selection activeCell="J14" sqref="J14"/>
    </sheetView>
  </sheetViews>
  <sheetFormatPr defaultRowHeight="15.5"/>
  <sheetData>
    <row r="1" spans="1:1">
      <c r="A1" s="616" t="s">
        <v>742</v>
      </c>
    </row>
    <row r="2" spans="1:1">
      <c r="A2" s="478"/>
    </row>
    <row r="3" spans="1:1">
      <c r="A3" s="478"/>
    </row>
    <row r="4" spans="1:1">
      <c r="A4" s="478"/>
    </row>
    <row r="5" spans="1:1">
      <c r="A5" s="478"/>
    </row>
    <row r="6" spans="1:1">
      <c r="A6" s="478"/>
    </row>
    <row r="7" spans="1:1">
      <c r="A7" s="478"/>
    </row>
    <row r="8" spans="1:1">
      <c r="A8" s="478" cm="1">
        <f t="array" ref="A8">INDEX('Master Mapping'!O:O, MATCH(TRUE, EXACT(TEXT(LEFT(TRIM(B8), 7), "@"), 'Master Mapping'!A:A), 0))</f>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5"/>
  <dimension ref="A1:N189"/>
  <sheetViews>
    <sheetView showGridLines="0" defaultGridColor="0" colorId="22" zoomScale="90" zoomScaleNormal="90" zoomScaleSheetLayoutView="90" workbookViewId="0">
      <pane xSplit="4" ySplit="10" topLeftCell="E148" activePane="bottomRight" state="frozen"/>
      <selection sqref="A1:XFD1048576"/>
      <selection pane="topRight" sqref="A1:XFD1048576"/>
      <selection pane="bottomLeft" sqref="A1:XFD1048576"/>
      <selection pane="bottomRight" activeCell="H27" sqref="H27"/>
    </sheetView>
  </sheetViews>
  <sheetFormatPr defaultColWidth="11.4609375" defaultRowHeight="15.5"/>
  <cols>
    <col min="1" max="1" width="3.23046875" customWidth="1"/>
    <col min="2" max="2" width="2" customWidth="1"/>
    <col min="3" max="3" width="2.53515625" customWidth="1"/>
    <col min="4" max="4" width="45.23046875" customWidth="1"/>
    <col min="5" max="5" width="13" bestFit="1" customWidth="1"/>
    <col min="6" max="6" width="12.53515625" customWidth="1"/>
    <col min="7" max="7" width="12.765625" customWidth="1"/>
    <col min="8" max="9" width="15" customWidth="1"/>
    <col min="10" max="11" width="12.23046875" customWidth="1"/>
    <col min="12" max="12" width="8.765625" customWidth="1"/>
    <col min="13" max="13" width="9.4609375" customWidth="1"/>
    <col min="14" max="14" width="54.765625" customWidth="1"/>
  </cols>
  <sheetData>
    <row r="1" spans="1:14" ht="39" customHeight="1">
      <c r="A1" s="841" t="s">
        <v>576</v>
      </c>
      <c r="B1" s="842"/>
      <c r="C1" s="842"/>
      <c r="D1" s="842"/>
      <c r="E1" s="842"/>
      <c r="F1" s="842"/>
      <c r="G1" s="842"/>
      <c r="H1" s="842"/>
      <c r="I1" s="842"/>
      <c r="J1" s="842"/>
      <c r="K1" s="842"/>
      <c r="L1" s="842"/>
      <c r="M1" s="842"/>
      <c r="N1" s="842"/>
    </row>
    <row r="2" spans="1:14" ht="29.25" customHeight="1" thickBot="1">
      <c r="A2" s="83"/>
      <c r="B2" s="83"/>
      <c r="C2" s="83"/>
      <c r="D2" s="83"/>
      <c r="E2" s="83"/>
      <c r="F2" s="83"/>
      <c r="G2" s="83"/>
      <c r="H2" s="83"/>
      <c r="I2" s="83"/>
      <c r="J2" s="83"/>
      <c r="K2" s="83"/>
      <c r="L2" s="83"/>
      <c r="M2" s="83"/>
      <c r="N2" s="48" t="s">
        <v>129</v>
      </c>
    </row>
    <row r="3" spans="1:14" ht="19.899999999999999" customHeight="1" thickTop="1" thickBot="1">
      <c r="A3" s="84"/>
      <c r="B3" s="85"/>
      <c r="C3" s="85"/>
      <c r="D3" s="85"/>
      <c r="E3" s="85"/>
      <c r="F3" s="85"/>
      <c r="G3" s="85"/>
      <c r="H3" s="85"/>
      <c r="I3" s="85"/>
      <c r="J3" s="83"/>
      <c r="K3" s="83"/>
      <c r="L3" s="83"/>
      <c r="M3" s="86" t="s">
        <v>574</v>
      </c>
      <c r="N3" s="422">
        <v>161</v>
      </c>
    </row>
    <row r="4" spans="1:14" ht="19.899999999999999" customHeight="1" thickTop="1" thickBot="1">
      <c r="A4" s="84"/>
      <c r="B4" s="85"/>
      <c r="C4" s="85"/>
      <c r="D4" s="85"/>
      <c r="E4" s="85"/>
      <c r="F4" s="85"/>
      <c r="G4" s="85"/>
      <c r="H4" s="85"/>
      <c r="I4" s="85"/>
      <c r="J4" s="83"/>
      <c r="K4" s="83"/>
      <c r="L4" s="83"/>
      <c r="M4" s="87" t="s">
        <v>575</v>
      </c>
      <c r="N4" s="422">
        <v>250</v>
      </c>
    </row>
    <row r="5" spans="1:14" ht="30" customHeight="1" thickTop="1" thickBot="1">
      <c r="A5" s="845" t="s">
        <v>0</v>
      </c>
      <c r="B5" s="846"/>
      <c r="C5" s="847"/>
      <c r="D5" s="464" t="s">
        <v>593</v>
      </c>
      <c r="E5" s="83"/>
      <c r="F5" s="83"/>
      <c r="G5" s="83"/>
      <c r="H5" s="843" t="s">
        <v>207</v>
      </c>
      <c r="I5" s="844"/>
      <c r="J5" s="83"/>
      <c r="K5" s="83"/>
      <c r="L5" s="83"/>
      <c r="M5" s="50"/>
      <c r="N5" s="128"/>
    </row>
    <row r="6" spans="1:14" ht="22.5" customHeight="1" thickTop="1">
      <c r="A6" s="88"/>
      <c r="B6" s="824" t="s">
        <v>1</v>
      </c>
      <c r="C6" s="824"/>
      <c r="D6" s="825"/>
      <c r="E6" s="839" t="s">
        <v>2</v>
      </c>
      <c r="F6" s="835" t="s">
        <v>26</v>
      </c>
      <c r="G6" s="836"/>
      <c r="H6" s="855" t="s">
        <v>128</v>
      </c>
      <c r="I6" s="856"/>
      <c r="J6" s="848" t="s">
        <v>134</v>
      </c>
      <c r="K6" s="849"/>
      <c r="L6" s="83"/>
      <c r="M6" s="47"/>
      <c r="N6" s="128"/>
    </row>
    <row r="7" spans="1:14" ht="10" customHeight="1" thickBot="1">
      <c r="A7" s="89"/>
      <c r="B7" s="826"/>
      <c r="C7" s="826"/>
      <c r="D7" s="827"/>
      <c r="E7" s="840"/>
      <c r="F7" s="837"/>
      <c r="G7" s="838"/>
      <c r="H7" s="857"/>
      <c r="I7" s="858"/>
      <c r="J7" s="850"/>
      <c r="K7" s="851"/>
      <c r="L7" s="83"/>
      <c r="M7" s="83"/>
      <c r="N7" s="83"/>
    </row>
    <row r="8" spans="1:14" ht="16.5" customHeight="1" thickTop="1">
      <c r="A8" s="89"/>
      <c r="B8" s="826"/>
      <c r="C8" s="826"/>
      <c r="D8" s="827"/>
      <c r="E8" s="821" t="s">
        <v>93</v>
      </c>
      <c r="F8" s="830" t="s">
        <v>572</v>
      </c>
      <c r="G8" s="818" t="s">
        <v>573</v>
      </c>
      <c r="H8" s="830" t="s">
        <v>572</v>
      </c>
      <c r="I8" s="818" t="s">
        <v>573</v>
      </c>
      <c r="J8" s="830" t="s">
        <v>572</v>
      </c>
      <c r="K8" s="818" t="s">
        <v>573</v>
      </c>
      <c r="L8" s="852" t="s">
        <v>70</v>
      </c>
      <c r="M8" s="859" t="s">
        <v>195</v>
      </c>
      <c r="N8" s="852" t="s">
        <v>103</v>
      </c>
    </row>
    <row r="9" spans="1:14" ht="15" customHeight="1">
      <c r="A9" s="89"/>
      <c r="B9" s="826"/>
      <c r="C9" s="826"/>
      <c r="D9" s="827"/>
      <c r="E9" s="822"/>
      <c r="F9" s="831"/>
      <c r="G9" s="819"/>
      <c r="H9" s="831"/>
      <c r="I9" s="819"/>
      <c r="J9" s="831"/>
      <c r="K9" s="819"/>
      <c r="L9" s="853"/>
      <c r="M9" s="860"/>
      <c r="N9" s="853"/>
    </row>
    <row r="10" spans="1:14" ht="25.5" customHeight="1" thickBot="1">
      <c r="A10" s="90"/>
      <c r="B10" s="828"/>
      <c r="C10" s="828"/>
      <c r="D10" s="829"/>
      <c r="E10" s="823"/>
      <c r="F10" s="832"/>
      <c r="G10" s="820"/>
      <c r="H10" s="832"/>
      <c r="I10" s="820"/>
      <c r="J10" s="832"/>
      <c r="K10" s="820"/>
      <c r="L10" s="854"/>
      <c r="M10" s="861"/>
      <c r="N10" s="854"/>
    </row>
    <row r="11" spans="1:14" ht="25.5" customHeight="1" thickTop="1">
      <c r="A11" s="369">
        <v>1</v>
      </c>
      <c r="B11" s="833" t="s">
        <v>91</v>
      </c>
      <c r="C11" s="834"/>
      <c r="D11" s="834"/>
      <c r="E11" s="139"/>
      <c r="F11" s="141"/>
      <c r="G11" s="140"/>
      <c r="H11" s="351"/>
      <c r="I11" s="140"/>
      <c r="J11" s="139"/>
      <c r="K11" s="139"/>
      <c r="L11" s="139"/>
      <c r="M11" s="139"/>
      <c r="N11" s="423"/>
    </row>
    <row r="12" spans="1:14" ht="18" customHeight="1">
      <c r="A12" s="370">
        <f>A11+1</f>
        <v>2</v>
      </c>
      <c r="B12" s="52" t="s">
        <v>41</v>
      </c>
      <c r="C12" s="52"/>
      <c r="D12" s="52"/>
      <c r="E12" s="91"/>
      <c r="F12" s="143"/>
      <c r="G12" s="142"/>
      <c r="H12" s="164"/>
      <c r="I12" s="142"/>
      <c r="J12" s="144"/>
      <c r="K12" s="144"/>
      <c r="L12" s="145"/>
      <c r="M12" s="145"/>
      <c r="N12" s="424"/>
    </row>
    <row r="13" spans="1:14">
      <c r="A13" s="371">
        <f>A12+1</f>
        <v>3</v>
      </c>
      <c r="B13" s="92"/>
      <c r="C13" s="55" t="s">
        <v>40</v>
      </c>
      <c r="D13" s="55"/>
      <c r="E13" s="15" t="s">
        <v>118</v>
      </c>
      <c r="F13" s="457">
        <f>SUMIF('FY24'!A:A, 'Annual Budget '!A13, 'FY24'!AJ:AJ)</f>
        <v>0</v>
      </c>
      <c r="G13" s="462">
        <f>SUMIF(FBT!B:B, 'Annual Budget '!A13, FBT!I:I)</f>
        <v>0</v>
      </c>
      <c r="H13" s="463">
        <f>SUMIF('FY24'!A:A, 'Annual Budget '!A13, 'FY24'!AK:AK)</f>
        <v>0</v>
      </c>
      <c r="I13" s="462">
        <f>SUMIF(FBT!B:B, 'Annual Budget '!A13, FBT!J:J)</f>
        <v>0</v>
      </c>
      <c r="J13" s="14">
        <f t="shared" ref="J13" si="0">H13+F13</f>
        <v>0</v>
      </c>
      <c r="K13" s="14">
        <f t="shared" ref="K13" si="1">I13+G13</f>
        <v>0</v>
      </c>
      <c r="L13" s="146">
        <f t="shared" ref="L13:L22" si="2">K13/$K$85</f>
        <v>0</v>
      </c>
      <c r="M13" s="146" t="str">
        <f>IFERROR(J13/K13,"")</f>
        <v/>
      </c>
      <c r="N13" s="425"/>
    </row>
    <row r="14" spans="1:14">
      <c r="A14" s="371">
        <f t="shared" ref="A14:A78" si="3">A13+1</f>
        <v>4</v>
      </c>
      <c r="B14" s="39"/>
      <c r="C14" s="40" t="s">
        <v>108</v>
      </c>
      <c r="D14" s="40"/>
      <c r="E14" s="2" t="s">
        <v>119</v>
      </c>
      <c r="F14" s="26"/>
      <c r="G14" s="161"/>
      <c r="H14" s="458"/>
      <c r="I14" s="462">
        <f>SUMIF(FBT!B:B, 'Annual Budget '!A14, FBT!J:J)</f>
        <v>0</v>
      </c>
      <c r="J14" s="3">
        <f t="shared" ref="J14:J39" si="4">H14+F14</f>
        <v>0</v>
      </c>
      <c r="K14" s="3">
        <f t="shared" ref="K14:K39" si="5">I14+G14</f>
        <v>0</v>
      </c>
      <c r="L14" s="158">
        <f t="shared" si="2"/>
        <v>0</v>
      </c>
      <c r="M14" s="158" t="str">
        <f t="shared" ref="M14:M22" si="6">IFERROR(J14/K14,"")</f>
        <v/>
      </c>
      <c r="N14" s="426"/>
    </row>
    <row r="15" spans="1:14">
      <c r="A15" s="371">
        <f t="shared" si="3"/>
        <v>5</v>
      </c>
      <c r="B15" s="39"/>
      <c r="C15" s="40" t="s">
        <v>42</v>
      </c>
      <c r="D15" s="40"/>
      <c r="E15" s="2">
        <v>1920</v>
      </c>
      <c r="F15" s="457">
        <f>SUMIF('FY24'!A:A, 'Annual Budget '!A15, 'FY24'!AJ:AJ)</f>
        <v>0</v>
      </c>
      <c r="G15" s="462">
        <f>SUMIF(FBT!B:B, 'Annual Budget '!A15, FBT!I:I)</f>
        <v>0</v>
      </c>
      <c r="H15" s="463">
        <f>SUMIF('FY24'!A:A, 'Annual Budget '!A15, 'FY24'!AK:AK)</f>
        <v>0</v>
      </c>
      <c r="I15" s="462">
        <f>SUMIF(FBT!B:B, 'Annual Budget '!A15, FBT!J:J)</f>
        <v>0</v>
      </c>
      <c r="J15" s="3">
        <f t="shared" si="4"/>
        <v>0</v>
      </c>
      <c r="K15" s="3">
        <f t="shared" si="5"/>
        <v>0</v>
      </c>
      <c r="L15" s="158">
        <f t="shared" si="2"/>
        <v>0</v>
      </c>
      <c r="M15" s="158" t="str">
        <f t="shared" si="6"/>
        <v/>
      </c>
      <c r="N15" s="427"/>
    </row>
    <row r="16" spans="1:14">
      <c r="A16" s="371">
        <f t="shared" si="3"/>
        <v>6</v>
      </c>
      <c r="B16" s="39"/>
      <c r="C16" s="40" t="s">
        <v>109</v>
      </c>
      <c r="D16" s="40"/>
      <c r="E16" s="2">
        <v>1993</v>
      </c>
      <c r="F16" s="457">
        <f>SUMIF('FY24'!A:A, 'Annual Budget '!A16, 'FY24'!AJ:AJ)</f>
        <v>0</v>
      </c>
      <c r="G16" s="462">
        <f>SUMIF(FBT!B:B, 'Annual Budget '!A16, FBT!I:I)</f>
        <v>0</v>
      </c>
      <c r="H16" s="463">
        <f>SUMIF('FY24'!A:A, 'Annual Budget '!A16, 'FY24'!AK:AK)</f>
        <v>0</v>
      </c>
      <c r="I16" s="462">
        <f>SUMIF(FBT!B:B, 'Annual Budget '!A16, FBT!J:J)</f>
        <v>0</v>
      </c>
      <c r="J16" s="3">
        <f t="shared" si="4"/>
        <v>0</v>
      </c>
      <c r="K16" s="3">
        <f t="shared" si="5"/>
        <v>0</v>
      </c>
      <c r="L16" s="158">
        <f t="shared" si="2"/>
        <v>0</v>
      </c>
      <c r="M16" s="158" t="str">
        <f t="shared" si="6"/>
        <v/>
      </c>
      <c r="N16" s="428"/>
    </row>
    <row r="17" spans="1:14">
      <c r="A17" s="371">
        <f t="shared" si="3"/>
        <v>7</v>
      </c>
      <c r="B17" s="39"/>
      <c r="C17" s="40" t="s">
        <v>130</v>
      </c>
      <c r="D17" s="40"/>
      <c r="E17" s="2">
        <v>1994</v>
      </c>
      <c r="F17" s="457">
        <f>SUMIF('FY24'!A:A, 'Annual Budget '!A17, 'FY24'!AJ:AJ)</f>
        <v>1213489</v>
      </c>
      <c r="G17" s="462">
        <f>SUMIF(FBT!B:B, 'Annual Budget '!A17, FBT!I:I)</f>
        <v>1949250</v>
      </c>
      <c r="H17" s="463">
        <f>SUMIF('FY24'!A:A, 'Annual Budget '!A17, 'FY24'!AK:AK)</f>
        <v>0</v>
      </c>
      <c r="I17" s="462">
        <f>SUMIF(FBT!B:B, 'Annual Budget '!A17, FBT!J:J)</f>
        <v>0</v>
      </c>
      <c r="J17" s="3">
        <f t="shared" si="4"/>
        <v>1213489</v>
      </c>
      <c r="K17" s="3">
        <f t="shared" si="5"/>
        <v>1949250</v>
      </c>
      <c r="L17" s="158">
        <f t="shared" si="2"/>
        <v>0.35666548125726882</v>
      </c>
      <c r="M17" s="158">
        <f t="shared" si="6"/>
        <v>0.62254149031678852</v>
      </c>
      <c r="N17" s="429"/>
    </row>
    <row r="18" spans="1:14">
      <c r="A18" s="371">
        <f t="shared" si="3"/>
        <v>8</v>
      </c>
      <c r="B18" s="39"/>
      <c r="C18" s="40" t="s">
        <v>206</v>
      </c>
      <c r="D18" s="40"/>
      <c r="E18" s="2" t="s">
        <v>102</v>
      </c>
      <c r="F18" s="457">
        <f>SUMIF('FY24'!A:A, 'Annual Budget '!A18, 'FY24'!AJ:AJ)</f>
        <v>1013.18</v>
      </c>
      <c r="G18" s="462">
        <f>SUMIF(FBT!B:B, 'Annual Budget '!A18, FBT!I:I)</f>
        <v>0.37348432425915234</v>
      </c>
      <c r="H18" s="463">
        <f>SUMIF('FY24'!A:A, 'Annual Budget '!A18, 'FY24'!AK:AK)</f>
        <v>0</v>
      </c>
      <c r="I18" s="462">
        <f>SUMIF(FBT!B:B, 'Annual Budget '!A18, FBT!J:J)</f>
        <v>5218</v>
      </c>
      <c r="J18" s="3">
        <f t="shared" si="4"/>
        <v>1013.18</v>
      </c>
      <c r="K18" s="3">
        <f t="shared" si="5"/>
        <v>5218.3734843242592</v>
      </c>
      <c r="L18" s="158">
        <f t="shared" si="2"/>
        <v>9.5483580359968334E-4</v>
      </c>
      <c r="M18" s="158">
        <f t="shared" si="6"/>
        <v>0.19415628318738465</v>
      </c>
      <c r="N18" s="426"/>
    </row>
    <row r="19" spans="1:14">
      <c r="A19" s="371">
        <f t="shared" si="3"/>
        <v>9</v>
      </c>
      <c r="B19" s="456"/>
      <c r="C19" s="446" t="s">
        <v>181</v>
      </c>
      <c r="D19" s="446"/>
      <c r="E19" s="448"/>
      <c r="F19" s="457">
        <f>SUMIF('FY24'!A:A, 'Annual Budget '!A19, 'FY24'!AJ:AJ)</f>
        <v>0</v>
      </c>
      <c r="G19" s="462">
        <f>SUMIF(FBT!B:B, 'Annual Budget '!A19, FBT!I:I)</f>
        <v>0</v>
      </c>
      <c r="H19" s="463">
        <f>SUMIF('FY24'!A:A, 'Annual Budget '!A19, 'FY24'!AK:AK)</f>
        <v>0</v>
      </c>
      <c r="I19" s="462">
        <f>SUMIF(FBT!B:B, 'Annual Budget '!A19, FBT!J:J)</f>
        <v>0</v>
      </c>
      <c r="J19" s="3">
        <f t="shared" si="4"/>
        <v>0</v>
      </c>
      <c r="K19" s="3">
        <f t="shared" si="5"/>
        <v>0</v>
      </c>
      <c r="L19" s="158">
        <f t="shared" si="2"/>
        <v>0</v>
      </c>
      <c r="M19" s="158" t="str">
        <f t="shared" si="6"/>
        <v/>
      </c>
      <c r="N19" s="426"/>
    </row>
    <row r="20" spans="1:14">
      <c r="A20" s="371">
        <f t="shared" si="3"/>
        <v>10</v>
      </c>
      <c r="B20" s="459"/>
      <c r="C20" s="446" t="s">
        <v>181</v>
      </c>
      <c r="D20" s="452"/>
      <c r="E20" s="453"/>
      <c r="F20" s="457">
        <f>SUMIF('FY24'!A:A, 'Annual Budget '!A20, 'FY24'!AJ:AJ)</f>
        <v>0</v>
      </c>
      <c r="G20" s="462">
        <f>SUMIF(FBT!B:B, 'Annual Budget '!A20, FBT!I:I)</f>
        <v>0</v>
      </c>
      <c r="H20" s="463">
        <f>SUMIF('FY24'!A:A, 'Annual Budget '!A20, 'FY24'!AK:AK)</f>
        <v>0</v>
      </c>
      <c r="I20" s="462">
        <f>SUMIF(FBT!B:B, 'Annual Budget '!A20, FBT!J:J)</f>
        <v>0</v>
      </c>
      <c r="J20" s="3">
        <f t="shared" si="4"/>
        <v>0</v>
      </c>
      <c r="K20" s="3">
        <f t="shared" si="5"/>
        <v>0</v>
      </c>
      <c r="L20" s="158">
        <f t="shared" si="2"/>
        <v>0</v>
      </c>
      <c r="M20" s="158" t="str">
        <f t="shared" si="6"/>
        <v/>
      </c>
      <c r="N20" s="426"/>
    </row>
    <row r="21" spans="1:14">
      <c r="A21" s="371">
        <f t="shared" si="3"/>
        <v>11</v>
      </c>
      <c r="B21" s="456"/>
      <c r="C21" s="446" t="s">
        <v>181</v>
      </c>
      <c r="D21" s="446"/>
      <c r="E21" s="448"/>
      <c r="F21" s="457">
        <f>SUMIF('FY24'!A:A, 'Annual Budget '!A21, 'FY24'!AJ:AJ)</f>
        <v>0</v>
      </c>
      <c r="G21" s="462">
        <f>SUMIF(FBT!B:B, 'Annual Budget '!A21, FBT!I:I)</f>
        <v>0</v>
      </c>
      <c r="H21" s="463">
        <f>SUMIF('FY24'!A:A, 'Annual Budget '!A21, 'FY24'!AK:AK)</f>
        <v>0</v>
      </c>
      <c r="I21" s="462">
        <f>SUMIF(FBT!B:B, 'Annual Budget '!A21, FBT!J:J)</f>
        <v>0</v>
      </c>
      <c r="J21" s="4">
        <f t="shared" si="4"/>
        <v>0</v>
      </c>
      <c r="K21" s="4">
        <f t="shared" si="5"/>
        <v>0</v>
      </c>
      <c r="L21" s="162">
        <f t="shared" si="2"/>
        <v>0</v>
      </c>
      <c r="M21" s="162" t="str">
        <f t="shared" si="6"/>
        <v/>
      </c>
      <c r="N21" s="426"/>
    </row>
    <row r="22" spans="1:14" ht="18" customHeight="1">
      <c r="A22" s="372">
        <f t="shared" si="3"/>
        <v>12</v>
      </c>
      <c r="B22" s="93" t="s">
        <v>43</v>
      </c>
      <c r="C22" s="58"/>
      <c r="D22" s="58"/>
      <c r="E22" s="44"/>
      <c r="F22" s="352">
        <f>SUM(F13:F21)</f>
        <v>1214502.18</v>
      </c>
      <c r="G22" s="149">
        <f>SUM(G13:G21)</f>
        <v>1949250.3734843242</v>
      </c>
      <c r="H22" s="353">
        <f>SUM(H13:H21)</f>
        <v>0</v>
      </c>
      <c r="I22" s="149">
        <f>SUM(I13:I21)</f>
        <v>5218</v>
      </c>
      <c r="J22" s="6">
        <f t="shared" si="4"/>
        <v>1214502.18</v>
      </c>
      <c r="K22" s="6">
        <f t="shared" si="5"/>
        <v>1954468.3734843242</v>
      </c>
      <c r="L22" s="129">
        <f t="shared" si="2"/>
        <v>0.3576203170608685</v>
      </c>
      <c r="M22" s="129">
        <f t="shared" si="6"/>
        <v>0.62139771432312763</v>
      </c>
      <c r="N22" s="430"/>
    </row>
    <row r="23" spans="1:14">
      <c r="A23" s="371">
        <f t="shared" si="3"/>
        <v>13</v>
      </c>
      <c r="B23" s="94"/>
      <c r="C23" s="95"/>
      <c r="D23" s="95"/>
      <c r="E23" s="96"/>
      <c r="F23" s="151"/>
      <c r="G23" s="150"/>
      <c r="H23" s="354"/>
      <c r="I23" s="150"/>
      <c r="J23" s="152"/>
      <c r="K23" s="152"/>
      <c r="L23" s="152"/>
      <c r="M23" s="152"/>
      <c r="N23" s="431"/>
    </row>
    <row r="24" spans="1:14" ht="18" customHeight="1">
      <c r="A24" s="370">
        <f t="shared" si="3"/>
        <v>14</v>
      </c>
      <c r="B24" s="52" t="s">
        <v>44</v>
      </c>
      <c r="C24" s="52"/>
      <c r="D24" s="52"/>
      <c r="E24" s="41"/>
      <c r="F24" s="154"/>
      <c r="G24" s="153"/>
      <c r="H24" s="154"/>
      <c r="I24" s="153"/>
      <c r="J24" s="3"/>
      <c r="K24" s="3"/>
      <c r="L24" s="3"/>
      <c r="M24" s="3"/>
      <c r="N24" s="432"/>
    </row>
    <row r="25" spans="1:14">
      <c r="A25" s="371">
        <f t="shared" si="3"/>
        <v>15</v>
      </c>
      <c r="B25" s="97"/>
      <c r="C25" s="98" t="s">
        <v>45</v>
      </c>
      <c r="D25" s="98"/>
      <c r="E25" s="42"/>
      <c r="F25" s="28"/>
      <c r="G25" s="155"/>
      <c r="H25" s="355"/>
      <c r="I25" s="156"/>
      <c r="J25" s="157"/>
      <c r="K25" s="14"/>
      <c r="L25" s="14"/>
      <c r="M25" s="14"/>
      <c r="N25" s="433"/>
    </row>
    <row r="26" spans="1:14">
      <c r="A26" s="371">
        <f t="shared" si="3"/>
        <v>16</v>
      </c>
      <c r="B26" s="39"/>
      <c r="C26" s="40"/>
      <c r="D26" s="99" t="s">
        <v>46</v>
      </c>
      <c r="E26" s="2">
        <v>3110</v>
      </c>
      <c r="F26" s="457">
        <f>SUMIF('FY24'!A:A, 'Annual Budget '!A26, 'FY24'!AJ:AJ)</f>
        <v>1013361</v>
      </c>
      <c r="G26" s="462">
        <f>SUMIF(FBT!B:B, 'Annual Budget '!A26, FBT!I:I)</f>
        <v>1390554.1230767467</v>
      </c>
      <c r="H26" s="356"/>
      <c r="I26" s="357"/>
      <c r="J26" s="153">
        <f t="shared" si="4"/>
        <v>1013361</v>
      </c>
      <c r="K26" s="3">
        <f t="shared" si="5"/>
        <v>1390554.1230767467</v>
      </c>
      <c r="L26" s="158">
        <f>K26/$K$85</f>
        <v>0.25443768399202121</v>
      </c>
      <c r="M26" s="158">
        <f t="shared" ref="M26:M27" si="7">IFERROR(J26/K26,"")</f>
        <v>0.72874617620623972</v>
      </c>
      <c r="N26" s="426"/>
    </row>
    <row r="27" spans="1:14">
      <c r="A27" s="371">
        <f t="shared" si="3"/>
        <v>17</v>
      </c>
      <c r="B27" s="39"/>
      <c r="C27" s="40"/>
      <c r="D27" s="40" t="s">
        <v>47</v>
      </c>
      <c r="E27" s="2">
        <v>3190</v>
      </c>
      <c r="F27" s="457">
        <f>SUMIF('FY24'!A:A, 'Annual Budget '!A27, 'FY24'!AJ:AJ)</f>
        <v>0</v>
      </c>
      <c r="G27" s="462">
        <f>SUMIF(FBT!B:B, 'Annual Budget '!A27, FBT!I:I)</f>
        <v>0</v>
      </c>
      <c r="H27" s="463">
        <f>SUMIF('FY24'!A:A, 'Annual Budget '!A27, 'FY24'!AK:AK)</f>
        <v>0</v>
      </c>
      <c r="I27" s="462">
        <f>SUMIF(FBT!B:B, 'Annual Budget '!A27, FBT!J:J)</f>
        <v>0</v>
      </c>
      <c r="J27" s="3">
        <f t="shared" si="4"/>
        <v>0</v>
      </c>
      <c r="K27" s="3">
        <f t="shared" si="5"/>
        <v>0</v>
      </c>
      <c r="L27" s="158">
        <f>K27/$K$85</f>
        <v>0</v>
      </c>
      <c r="M27" s="158" t="str">
        <f t="shared" si="7"/>
        <v/>
      </c>
      <c r="N27" s="426"/>
    </row>
    <row r="28" spans="1:14">
      <c r="A28" s="371">
        <f t="shared" si="3"/>
        <v>18</v>
      </c>
      <c r="B28" s="100"/>
      <c r="C28" s="101" t="s">
        <v>48</v>
      </c>
      <c r="D28" s="101"/>
      <c r="E28" s="22"/>
      <c r="F28" s="160"/>
      <c r="G28" s="159"/>
      <c r="H28" s="26"/>
      <c r="I28" s="161"/>
      <c r="J28" s="3"/>
      <c r="K28" s="3"/>
      <c r="L28" s="158"/>
      <c r="M28" s="158"/>
      <c r="N28" s="434"/>
    </row>
    <row r="29" spans="1:14">
      <c r="A29" s="371">
        <f t="shared" si="3"/>
        <v>19</v>
      </c>
      <c r="B29" s="39"/>
      <c r="C29" s="40"/>
      <c r="D29" s="40" t="s">
        <v>49</v>
      </c>
      <c r="E29" s="102">
        <v>3220</v>
      </c>
      <c r="F29" s="457">
        <f>SUMIF('FY24'!A:A, 'Annual Budget '!A29, 'FY24'!AJ:AJ)</f>
        <v>3968</v>
      </c>
      <c r="G29" s="462">
        <f>SUMIF(FBT!B:B, 'Annual Budget '!A29, FBT!I:I)</f>
        <v>0</v>
      </c>
      <c r="H29" s="463">
        <f>SUMIF('FY24'!A:A, 'Annual Budget '!A29, 'FY24'!AK:AK)</f>
        <v>0</v>
      </c>
      <c r="I29" s="462">
        <f>SUMIF(FBT!B:B, 'Annual Budget '!A29, FBT!J:J)</f>
        <v>0</v>
      </c>
      <c r="J29" s="3">
        <f t="shared" si="4"/>
        <v>3968</v>
      </c>
      <c r="K29" s="3">
        <f t="shared" si="5"/>
        <v>0</v>
      </c>
      <c r="L29" s="158">
        <f t="shared" ref="L29:L39" si="8">K29/$K$85</f>
        <v>0</v>
      </c>
      <c r="M29" s="158" t="str">
        <f t="shared" ref="M29:M39" si="9">IFERROR(J29/K29,"")</f>
        <v/>
      </c>
      <c r="N29" s="426"/>
    </row>
    <row r="30" spans="1:14">
      <c r="A30" s="371">
        <f t="shared" si="3"/>
        <v>20</v>
      </c>
      <c r="B30" s="39"/>
      <c r="C30" s="40"/>
      <c r="D30" s="40" t="s">
        <v>50</v>
      </c>
      <c r="E30" s="102">
        <v>3230</v>
      </c>
      <c r="F30" s="457">
        <f>SUMIF('FY24'!A:A, 'Annual Budget '!A30, 'FY24'!AJ:AJ)</f>
        <v>0</v>
      </c>
      <c r="G30" s="462">
        <f>SUMIF(FBT!B:B, 'Annual Budget '!A30, FBT!I:I)</f>
        <v>0</v>
      </c>
      <c r="H30" s="358"/>
      <c r="I30" s="148"/>
      <c r="J30" s="3">
        <f t="shared" si="4"/>
        <v>0</v>
      </c>
      <c r="K30" s="3">
        <f t="shared" si="5"/>
        <v>0</v>
      </c>
      <c r="L30" s="158">
        <f t="shared" si="8"/>
        <v>0</v>
      </c>
      <c r="M30" s="158" t="str">
        <f t="shared" si="9"/>
        <v/>
      </c>
      <c r="N30" s="426"/>
    </row>
    <row r="31" spans="1:14">
      <c r="A31" s="371">
        <f t="shared" si="3"/>
        <v>21</v>
      </c>
      <c r="B31" s="39"/>
      <c r="C31" s="40"/>
      <c r="D31" s="40" t="s">
        <v>94</v>
      </c>
      <c r="E31" s="102">
        <v>3290</v>
      </c>
      <c r="F31" s="457">
        <f>SUMIF('FY24'!A:A, 'Annual Budget '!A31, 'FY24'!AJ:AJ)</f>
        <v>0</v>
      </c>
      <c r="G31" s="462">
        <f>SUMIF(FBT!B:B, 'Annual Budget '!A31, FBT!I:I)</f>
        <v>0</v>
      </c>
      <c r="H31" s="463">
        <f>SUMIF('FY24'!A:A, 'Annual Budget '!A31, 'FY24'!AK:AK)</f>
        <v>0</v>
      </c>
      <c r="I31" s="462">
        <f>SUMIF(FBT!B:B, 'Annual Budget '!A31, FBT!J:J)</f>
        <v>0</v>
      </c>
      <c r="J31" s="3">
        <f t="shared" si="4"/>
        <v>0</v>
      </c>
      <c r="K31" s="3">
        <f t="shared" si="5"/>
        <v>0</v>
      </c>
      <c r="L31" s="158">
        <f t="shared" si="8"/>
        <v>0</v>
      </c>
      <c r="M31" s="158" t="str">
        <f t="shared" si="9"/>
        <v/>
      </c>
      <c r="N31" s="426"/>
    </row>
    <row r="32" spans="1:14">
      <c r="A32" s="371">
        <f t="shared" si="3"/>
        <v>22</v>
      </c>
      <c r="B32" s="39"/>
      <c r="C32" s="40"/>
      <c r="D32" s="103" t="s">
        <v>164</v>
      </c>
      <c r="E32" s="102">
        <v>3240</v>
      </c>
      <c r="F32" s="457">
        <f>SUMIF('FY24'!A:A, 'Annual Budget '!A32, 'FY24'!AJ:AJ)</f>
        <v>104346</v>
      </c>
      <c r="G32" s="462">
        <f>SUMIF(FBT!B:B, 'Annual Budget '!A32, FBT!I:I)</f>
        <v>111600</v>
      </c>
      <c r="H32" s="463">
        <f>SUMIF('FY24'!A:A, 'Annual Budget '!A32, 'FY24'!AK:AK)</f>
        <v>0</v>
      </c>
      <c r="I32" s="462">
        <f>SUMIF(FBT!B:B, 'Annual Budget '!A32, FBT!J:J)</f>
        <v>0</v>
      </c>
      <c r="J32" s="3">
        <f t="shared" si="4"/>
        <v>104346</v>
      </c>
      <c r="K32" s="3">
        <f t="shared" si="5"/>
        <v>111600</v>
      </c>
      <c r="L32" s="158">
        <f t="shared" si="8"/>
        <v>2.0420093732620857E-2</v>
      </c>
      <c r="M32" s="158">
        <f t="shared" si="9"/>
        <v>0.93500000000000005</v>
      </c>
      <c r="N32" s="426"/>
    </row>
    <row r="33" spans="1:14">
      <c r="A33" s="371">
        <f t="shared" si="3"/>
        <v>23</v>
      </c>
      <c r="B33" s="39"/>
      <c r="C33" s="40"/>
      <c r="D33" s="40" t="s">
        <v>133</v>
      </c>
      <c r="E33" s="102">
        <v>3290</v>
      </c>
      <c r="F33" s="457">
        <f>SUMIF('FY24'!A:A, 'Annual Budget '!A33, 'FY24'!AJ:AJ)</f>
        <v>0</v>
      </c>
      <c r="G33" s="462">
        <f>SUMIF(FBT!B:B, 'Annual Budget '!A33, FBT!I:I)</f>
        <v>0</v>
      </c>
      <c r="H33" s="463">
        <f>SUMIF('FY24'!A:A, 'Annual Budget '!A33, 'FY24'!AK:AK)</f>
        <v>0</v>
      </c>
      <c r="I33" s="462">
        <f>SUMIF(FBT!B:B, 'Annual Budget '!A33, FBT!J:J)</f>
        <v>0</v>
      </c>
      <c r="J33" s="3">
        <f t="shared" si="4"/>
        <v>0</v>
      </c>
      <c r="K33" s="3">
        <f t="shared" si="5"/>
        <v>0</v>
      </c>
      <c r="L33" s="158">
        <f t="shared" si="8"/>
        <v>0</v>
      </c>
      <c r="M33" s="158" t="str">
        <f t="shared" si="9"/>
        <v/>
      </c>
      <c r="N33" s="426"/>
    </row>
    <row r="34" spans="1:14">
      <c r="A34" s="371">
        <f t="shared" si="3"/>
        <v>24</v>
      </c>
      <c r="B34" s="39"/>
      <c r="C34" s="40"/>
      <c r="D34" s="103" t="s">
        <v>137</v>
      </c>
      <c r="E34" s="102">
        <v>3290</v>
      </c>
      <c r="F34" s="457">
        <f>SUMIF('FY24'!A:A, 'Annual Budget '!A34, 'FY24'!AJ:AJ)</f>
        <v>500</v>
      </c>
      <c r="G34" s="462">
        <f>SUMIF(FBT!B:B, 'Annual Budget '!A34, FBT!I:I)</f>
        <v>0</v>
      </c>
      <c r="H34" s="463">
        <f>SUMIF('FY24'!A:A, 'Annual Budget '!A34, 'FY24'!AK:AK)</f>
        <v>0</v>
      </c>
      <c r="I34" s="462">
        <f>SUMIF(FBT!B:B, 'Annual Budget '!A34, FBT!J:J)</f>
        <v>0</v>
      </c>
      <c r="J34" s="3">
        <f t="shared" si="4"/>
        <v>500</v>
      </c>
      <c r="K34" s="3">
        <f t="shared" si="5"/>
        <v>0</v>
      </c>
      <c r="L34" s="158">
        <f t="shared" si="8"/>
        <v>0</v>
      </c>
      <c r="M34" s="158" t="str">
        <f t="shared" si="9"/>
        <v/>
      </c>
      <c r="N34" s="426"/>
    </row>
    <row r="35" spans="1:14">
      <c r="A35" s="371">
        <f t="shared" si="3"/>
        <v>25</v>
      </c>
      <c r="B35" s="456"/>
      <c r="C35" s="446"/>
      <c r="D35" s="446" t="s">
        <v>594</v>
      </c>
      <c r="E35" s="448">
        <v>3290</v>
      </c>
      <c r="F35" s="457"/>
      <c r="G35" s="462">
        <f>SUMIF(FBT!B:B, 'Annual Budget '!A35, FBT!I:I)</f>
        <v>300000</v>
      </c>
      <c r="H35" s="458"/>
      <c r="I35" s="462">
        <f>SUMIF(FBT!B:B, 'Annual Budget '!A35, FBT!J:J)</f>
        <v>0</v>
      </c>
      <c r="J35" s="3">
        <f t="shared" si="4"/>
        <v>0</v>
      </c>
      <c r="K35" s="3">
        <f t="shared" si="5"/>
        <v>300000</v>
      </c>
      <c r="L35" s="158">
        <f t="shared" si="8"/>
        <v>5.4892725087690469E-2</v>
      </c>
      <c r="M35" s="158">
        <f t="shared" si="9"/>
        <v>0</v>
      </c>
      <c r="N35" s="426"/>
    </row>
    <row r="36" spans="1:14">
      <c r="A36" s="371">
        <f t="shared" si="3"/>
        <v>26</v>
      </c>
      <c r="B36" s="456"/>
      <c r="C36" s="446" t="s">
        <v>181</v>
      </c>
      <c r="D36" s="446"/>
      <c r="E36" s="448"/>
      <c r="F36" s="449"/>
      <c r="G36" s="450"/>
      <c r="H36" s="458"/>
      <c r="I36" s="462">
        <f>SUMIF(FBT!B:B, 'Annual Budget '!A36, FBT!J:J)</f>
        <v>0</v>
      </c>
      <c r="J36" s="3">
        <f t="shared" si="4"/>
        <v>0</v>
      </c>
      <c r="K36" s="3">
        <f t="shared" si="5"/>
        <v>0</v>
      </c>
      <c r="L36" s="158">
        <f t="shared" si="8"/>
        <v>0</v>
      </c>
      <c r="M36" s="158" t="str">
        <f t="shared" si="9"/>
        <v/>
      </c>
      <c r="N36" s="426"/>
    </row>
    <row r="37" spans="1:14">
      <c r="A37" s="371">
        <f t="shared" si="3"/>
        <v>27</v>
      </c>
      <c r="B37" s="459"/>
      <c r="C37" s="446" t="s">
        <v>181</v>
      </c>
      <c r="D37" s="452"/>
      <c r="E37" s="460"/>
      <c r="F37" s="454"/>
      <c r="G37" s="455"/>
      <c r="H37" s="461"/>
      <c r="I37" s="462">
        <f>SUMIF(FBT!B:B, 'Annual Budget '!A37, FBT!J:J)</f>
        <v>0</v>
      </c>
      <c r="J37" s="3">
        <f t="shared" si="4"/>
        <v>0</v>
      </c>
      <c r="K37" s="3">
        <f t="shared" si="5"/>
        <v>0</v>
      </c>
      <c r="L37" s="158">
        <f t="shared" si="8"/>
        <v>0</v>
      </c>
      <c r="M37" s="158" t="str">
        <f t="shared" si="9"/>
        <v/>
      </c>
      <c r="N37" s="426"/>
    </row>
    <row r="38" spans="1:14">
      <c r="A38" s="371">
        <f t="shared" si="3"/>
        <v>28</v>
      </c>
      <c r="B38" s="456"/>
      <c r="C38" s="446" t="s">
        <v>181</v>
      </c>
      <c r="D38" s="446"/>
      <c r="E38" s="451"/>
      <c r="F38" s="449"/>
      <c r="G38" s="450"/>
      <c r="H38" s="458"/>
      <c r="I38" s="462">
        <f>SUMIF(FBT!B:B, 'Annual Budget '!A38, FBT!J:J)</f>
        <v>0</v>
      </c>
      <c r="J38" s="4">
        <f t="shared" si="4"/>
        <v>0</v>
      </c>
      <c r="K38" s="4">
        <f t="shared" si="5"/>
        <v>0</v>
      </c>
      <c r="L38" s="162">
        <f t="shared" si="8"/>
        <v>0</v>
      </c>
      <c r="M38" s="162" t="str">
        <f t="shared" si="9"/>
        <v/>
      </c>
      <c r="N38" s="426"/>
    </row>
    <row r="39" spans="1:14" ht="18" customHeight="1">
      <c r="A39" s="372">
        <f t="shared" si="3"/>
        <v>29</v>
      </c>
      <c r="B39" s="93" t="s">
        <v>51</v>
      </c>
      <c r="C39" s="58"/>
      <c r="D39" s="58"/>
      <c r="E39" s="44"/>
      <c r="F39" s="352">
        <f>SUM(F26:F38)</f>
        <v>1122175</v>
      </c>
      <c r="G39" s="149">
        <f>SUM(G26:G38)</f>
        <v>1802154.1230767467</v>
      </c>
      <c r="H39" s="353">
        <f>SUM(H26:H38)</f>
        <v>0</v>
      </c>
      <c r="I39" s="149">
        <f>SUM(I26:I38)</f>
        <v>0</v>
      </c>
      <c r="J39" s="6">
        <f t="shared" si="4"/>
        <v>1122175</v>
      </c>
      <c r="K39" s="6">
        <f t="shared" si="5"/>
        <v>1802154.1230767467</v>
      </c>
      <c r="L39" s="129">
        <f t="shared" si="8"/>
        <v>0.32975050281233254</v>
      </c>
      <c r="M39" s="129">
        <f t="shared" si="9"/>
        <v>0.62268536615733783</v>
      </c>
      <c r="N39" s="430"/>
    </row>
    <row r="40" spans="1:14" ht="16" thickBot="1">
      <c r="A40" s="383">
        <f t="shared" si="3"/>
        <v>30</v>
      </c>
      <c r="B40" s="384"/>
      <c r="C40" s="385"/>
      <c r="D40" s="385"/>
      <c r="E40" s="386"/>
      <c r="F40" s="387"/>
      <c r="G40" s="388"/>
      <c r="H40" s="389"/>
      <c r="I40" s="388"/>
      <c r="J40" s="390"/>
      <c r="K40" s="390"/>
      <c r="L40" s="391"/>
      <c r="M40" s="391"/>
      <c r="N40" s="435"/>
    </row>
    <row r="41" spans="1:14" ht="18" customHeight="1" thickTop="1">
      <c r="A41" s="373">
        <f t="shared" si="3"/>
        <v>31</v>
      </c>
      <c r="B41" s="52" t="s">
        <v>52</v>
      </c>
      <c r="C41" s="52"/>
      <c r="D41" s="52"/>
      <c r="E41" s="41"/>
      <c r="F41" s="164"/>
      <c r="G41" s="142"/>
      <c r="H41" s="164"/>
      <c r="I41" s="142"/>
      <c r="J41" s="144"/>
      <c r="K41" s="144"/>
      <c r="L41" s="158"/>
      <c r="M41" s="158"/>
      <c r="N41" s="436"/>
    </row>
    <row r="42" spans="1:14">
      <c r="A42" s="374">
        <f t="shared" si="3"/>
        <v>32</v>
      </c>
      <c r="B42" s="98"/>
      <c r="C42" s="98" t="s">
        <v>53</v>
      </c>
      <c r="D42" s="98"/>
      <c r="E42" s="42"/>
      <c r="F42" s="166"/>
      <c r="G42" s="165"/>
      <c r="H42" s="166"/>
      <c r="I42" s="165"/>
      <c r="J42" s="167"/>
      <c r="K42" s="167"/>
      <c r="L42" s="146"/>
      <c r="M42" s="146"/>
      <c r="N42" s="437"/>
    </row>
    <row r="43" spans="1:14">
      <c r="A43" s="374">
        <f t="shared" si="3"/>
        <v>33</v>
      </c>
      <c r="B43" s="40"/>
      <c r="C43" s="40"/>
      <c r="D43" s="40" t="s">
        <v>110</v>
      </c>
      <c r="E43" s="2">
        <v>4110</v>
      </c>
      <c r="F43" s="457">
        <f>SUMIF('FY24'!A:A, 'Annual Budget '!A43, 'FY24'!AJ:AJ)</f>
        <v>0</v>
      </c>
      <c r="G43" s="462">
        <f>SUMIF(FBT!B:B, 'Annual Budget '!A43, FBT!I:I)</f>
        <v>0</v>
      </c>
      <c r="H43" s="147"/>
      <c r="I43" s="148"/>
      <c r="J43" s="3">
        <f t="shared" ref="J43:J105" si="10">H43+F43</f>
        <v>0</v>
      </c>
      <c r="K43" s="3">
        <f t="shared" ref="K43:K105" si="11">I43+G43</f>
        <v>0</v>
      </c>
      <c r="L43" s="158">
        <f>K43/$K$85</f>
        <v>0</v>
      </c>
      <c r="M43" s="158" t="str">
        <f t="shared" ref="M43:M44" si="12">IFERROR(J43/K43,"")</f>
        <v/>
      </c>
      <c r="N43" s="426"/>
    </row>
    <row r="44" spans="1:14">
      <c r="A44" s="374">
        <f t="shared" si="3"/>
        <v>34</v>
      </c>
      <c r="B44" s="40"/>
      <c r="C44" s="40"/>
      <c r="D44" s="40" t="s">
        <v>120</v>
      </c>
      <c r="E44" s="2">
        <v>4190</v>
      </c>
      <c r="F44" s="457">
        <f>SUMIF('FY24'!A:A, 'Annual Budget '!A44, 'FY24'!AJ:AJ)</f>
        <v>0</v>
      </c>
      <c r="G44" s="462">
        <f>SUMIF(FBT!B:B, 'Annual Budget '!A44, FBT!I:I)</f>
        <v>0</v>
      </c>
      <c r="H44" s="463">
        <f>SUMIF('FY24'!A:A, 'Annual Budget '!A44, 'FY24'!AK:AK)</f>
        <v>0</v>
      </c>
      <c r="I44" s="462">
        <f>SUMIF(FBT!B:B, 'Annual Budget '!A44, FBT!J:J)</f>
        <v>0</v>
      </c>
      <c r="J44" s="3">
        <f t="shared" si="10"/>
        <v>0</v>
      </c>
      <c r="K44" s="3">
        <f t="shared" si="11"/>
        <v>0</v>
      </c>
      <c r="L44" s="158">
        <f>K44/$K$85</f>
        <v>0</v>
      </c>
      <c r="M44" s="158" t="str">
        <f t="shared" si="12"/>
        <v/>
      </c>
      <c r="N44" s="426"/>
    </row>
    <row r="45" spans="1:14">
      <c r="A45" s="374">
        <f t="shared" si="3"/>
        <v>35</v>
      </c>
      <c r="B45" s="101"/>
      <c r="C45" s="101" t="s">
        <v>54</v>
      </c>
      <c r="D45" s="101"/>
      <c r="E45" s="22"/>
      <c r="F45" s="169"/>
      <c r="G45" s="168"/>
      <c r="H45" s="26"/>
      <c r="I45" s="161"/>
      <c r="J45" s="3"/>
      <c r="K45" s="3"/>
      <c r="L45" s="158"/>
      <c r="M45" s="158"/>
      <c r="N45" s="438"/>
    </row>
    <row r="46" spans="1:14">
      <c r="A46" s="374">
        <f t="shared" si="3"/>
        <v>36</v>
      </c>
      <c r="B46" s="40"/>
      <c r="C46" s="40"/>
      <c r="D46" s="40" t="s">
        <v>111</v>
      </c>
      <c r="E46" s="2">
        <v>4330</v>
      </c>
      <c r="F46" s="457">
        <f>SUMIF('FY24'!A:A, 'Annual Budget '!A46, 'FY24'!AJ:AJ)</f>
        <v>0</v>
      </c>
      <c r="G46" s="462">
        <f>SUMIF(FBT!B:B, 'Annual Budget '!A46, FBT!I:I)</f>
        <v>0</v>
      </c>
      <c r="H46" s="147"/>
      <c r="I46" s="148"/>
      <c r="J46" s="3">
        <f t="shared" si="10"/>
        <v>0</v>
      </c>
      <c r="K46" s="3">
        <f t="shared" si="11"/>
        <v>0</v>
      </c>
      <c r="L46" s="158">
        <f>K46/$K$85</f>
        <v>0</v>
      </c>
      <c r="M46" s="158" t="str">
        <f t="shared" ref="M46:M48" si="13">IFERROR(J46/K46,"")</f>
        <v/>
      </c>
      <c r="N46" s="438"/>
    </row>
    <row r="47" spans="1:14">
      <c r="A47" s="374">
        <f t="shared" si="3"/>
        <v>37</v>
      </c>
      <c r="B47" s="40"/>
      <c r="C47" s="40"/>
      <c r="D47" s="40" t="s">
        <v>55</v>
      </c>
      <c r="E47" s="2">
        <v>4390</v>
      </c>
      <c r="F47" s="143"/>
      <c r="G47" s="360"/>
      <c r="H47" s="463">
        <f>SUMIF('FY24'!A:A, 'Annual Budget '!A47, 'FY24'!AK:AK)</f>
        <v>0</v>
      </c>
      <c r="I47" s="462">
        <f>SUMIF(FBT!B:B, 'Annual Budget '!A47, FBT!J:J)</f>
        <v>0</v>
      </c>
      <c r="J47" s="3">
        <f t="shared" si="10"/>
        <v>0</v>
      </c>
      <c r="K47" s="3">
        <f t="shared" si="11"/>
        <v>0</v>
      </c>
      <c r="L47" s="158">
        <f>K47/$K$85</f>
        <v>0</v>
      </c>
      <c r="M47" s="158" t="str">
        <f t="shared" si="13"/>
        <v/>
      </c>
      <c r="N47" s="426"/>
    </row>
    <row r="48" spans="1:14">
      <c r="A48" s="374">
        <f t="shared" si="3"/>
        <v>38</v>
      </c>
      <c r="B48" s="446"/>
      <c r="C48" s="446"/>
      <c r="D48" s="446"/>
      <c r="E48" s="448"/>
      <c r="F48" s="457">
        <f>SUMIF('FY24'!A:A, 'Annual Budget '!A48, 'FY24'!AJ:AJ)</f>
        <v>0</v>
      </c>
      <c r="G48" s="462">
        <f>SUMIF(FBT!B:B, 'Annual Budget '!A48, FBT!I:I)</f>
        <v>0</v>
      </c>
      <c r="H48" s="463">
        <f>SUMIF('FY24'!A:A, 'Annual Budget '!A48, 'FY24'!AK:AK)</f>
        <v>0</v>
      </c>
      <c r="I48" s="462">
        <f>SUMIF(FBT!B:B, 'Annual Budget '!A48, FBT!J:J)</f>
        <v>0</v>
      </c>
      <c r="J48" s="3">
        <f t="shared" si="10"/>
        <v>0</v>
      </c>
      <c r="K48" s="3">
        <f t="shared" si="11"/>
        <v>0</v>
      </c>
      <c r="L48" s="158">
        <f>K48/$K$85</f>
        <v>0</v>
      </c>
      <c r="M48" s="158" t="str">
        <f t="shared" si="13"/>
        <v/>
      </c>
      <c r="N48" s="426"/>
    </row>
    <row r="49" spans="1:14">
      <c r="A49" s="374">
        <f t="shared" si="3"/>
        <v>39</v>
      </c>
      <c r="B49" s="101" t="s">
        <v>56</v>
      </c>
      <c r="C49" s="101"/>
      <c r="D49" s="101"/>
      <c r="E49" s="22"/>
      <c r="F49" s="169"/>
      <c r="G49" s="168"/>
      <c r="H49" s="26"/>
      <c r="I49" s="161"/>
      <c r="J49" s="3"/>
      <c r="K49" s="3"/>
      <c r="L49" s="158"/>
      <c r="M49" s="158"/>
      <c r="N49" s="438"/>
    </row>
    <row r="50" spans="1:14">
      <c r="A50" s="374">
        <f t="shared" si="3"/>
        <v>40</v>
      </c>
      <c r="B50" s="40"/>
      <c r="C50" s="40"/>
      <c r="D50" s="40" t="s">
        <v>112</v>
      </c>
      <c r="E50" s="2">
        <v>4510</v>
      </c>
      <c r="F50" s="154"/>
      <c r="G50" s="153"/>
      <c r="H50" s="463">
        <f>SUMIF('FY24'!A:A, 'Annual Budget '!A50, 'FY24'!AK:AK)</f>
        <v>0</v>
      </c>
      <c r="I50" s="462">
        <f>SUMIF(FBT!B:B, 'Annual Budget '!A50, FBT!J:J)</f>
        <v>0</v>
      </c>
      <c r="J50" s="3">
        <f t="shared" si="10"/>
        <v>0</v>
      </c>
      <c r="K50" s="3">
        <f t="shared" si="11"/>
        <v>0</v>
      </c>
      <c r="L50" s="158">
        <f>K50/$K$85</f>
        <v>0</v>
      </c>
      <c r="M50" s="158" t="str">
        <f t="shared" ref="M50:M51" si="14">IFERROR(J50/K50,"")</f>
        <v/>
      </c>
      <c r="N50" s="426"/>
    </row>
    <row r="51" spans="1:14">
      <c r="A51" s="374">
        <f t="shared" si="3"/>
        <v>41</v>
      </c>
      <c r="B51" s="40"/>
      <c r="C51" s="40"/>
      <c r="D51" s="40" t="s">
        <v>3</v>
      </c>
      <c r="E51" s="2">
        <v>4515</v>
      </c>
      <c r="F51" s="154"/>
      <c r="G51" s="153"/>
      <c r="H51" s="463">
        <f>SUMIF('FY24'!A:A, 'Annual Budget '!A51, 'FY24'!AK:AK)</f>
        <v>217544.03</v>
      </c>
      <c r="I51" s="462">
        <f>SUMIF(FBT!B:B, 'Annual Budget '!A51, FBT!J:J)</f>
        <v>253953.58336078693</v>
      </c>
      <c r="J51" s="3">
        <f t="shared" si="10"/>
        <v>217544.03</v>
      </c>
      <c r="K51" s="3">
        <f t="shared" si="11"/>
        <v>253953.58336078693</v>
      </c>
      <c r="L51" s="158">
        <f>K51/$K$85</f>
        <v>4.6467347454858539E-2</v>
      </c>
      <c r="M51" s="158">
        <f t="shared" si="14"/>
        <v>0.85662910174785534</v>
      </c>
      <c r="N51" s="426"/>
    </row>
    <row r="52" spans="1:14">
      <c r="A52" s="374">
        <f t="shared" si="3"/>
        <v>42</v>
      </c>
      <c r="B52" s="101"/>
      <c r="C52" s="101"/>
      <c r="D52" s="101" t="s">
        <v>4</v>
      </c>
      <c r="E52" s="22"/>
      <c r="F52" s="154"/>
      <c r="G52" s="153"/>
      <c r="H52" s="26"/>
      <c r="I52" s="161"/>
      <c r="J52" s="3"/>
      <c r="K52" s="3"/>
      <c r="L52" s="158"/>
      <c r="M52" s="158"/>
      <c r="N52" s="438"/>
    </row>
    <row r="53" spans="1:14">
      <c r="A53" s="374">
        <f t="shared" si="3"/>
        <v>43</v>
      </c>
      <c r="B53" s="40"/>
      <c r="C53" s="40"/>
      <c r="D53" s="40" t="s">
        <v>57</v>
      </c>
      <c r="E53" s="2" t="s">
        <v>58</v>
      </c>
      <c r="F53" s="154"/>
      <c r="G53" s="153"/>
      <c r="H53" s="463">
        <f>SUMIF('FY24'!A:A, 'Annual Budget '!A53, 'FY24'!AK:AK)</f>
        <v>47844</v>
      </c>
      <c r="I53" s="462">
        <f>SUMIF(FBT!B:B, 'Annual Budget '!A53, FBT!J:J)</f>
        <v>54419</v>
      </c>
      <c r="J53" s="3">
        <f t="shared" si="10"/>
        <v>47844</v>
      </c>
      <c r="K53" s="3">
        <f t="shared" si="11"/>
        <v>54419</v>
      </c>
      <c r="L53" s="158">
        <f>K53/$K$85</f>
        <v>9.9573573551567599E-3</v>
      </c>
      <c r="M53" s="158">
        <f t="shared" ref="M53:M56" si="15">IFERROR(J53/K53,"")</f>
        <v>0.87917822819235925</v>
      </c>
      <c r="N53" s="426"/>
    </row>
    <row r="54" spans="1:14">
      <c r="A54" s="374">
        <f t="shared" si="3"/>
        <v>44</v>
      </c>
      <c r="B54" s="40"/>
      <c r="C54" s="40"/>
      <c r="D54" s="40" t="s">
        <v>59</v>
      </c>
      <c r="E54" s="2" t="s">
        <v>60</v>
      </c>
      <c r="F54" s="154"/>
      <c r="G54" s="153"/>
      <c r="H54" s="463">
        <f>SUMIF('FY24'!A:A, 'Annual Budget '!A54, 'FY24'!AK:AK)</f>
        <v>6230</v>
      </c>
      <c r="I54" s="462">
        <f>SUMIF(FBT!B:B, 'Annual Budget '!A54, FBT!J:J)</f>
        <v>3500</v>
      </c>
      <c r="J54" s="3">
        <f t="shared" si="10"/>
        <v>6230</v>
      </c>
      <c r="K54" s="3">
        <f t="shared" si="11"/>
        <v>3500</v>
      </c>
      <c r="L54" s="158">
        <f>K54/$K$85</f>
        <v>6.4041512602305546E-4</v>
      </c>
      <c r="M54" s="158">
        <f t="shared" si="15"/>
        <v>1.78</v>
      </c>
      <c r="N54" s="426"/>
    </row>
    <row r="55" spans="1:14">
      <c r="A55" s="374">
        <f t="shared" si="3"/>
        <v>45</v>
      </c>
      <c r="B55" s="40"/>
      <c r="C55" s="40"/>
      <c r="D55" s="103" t="s">
        <v>140</v>
      </c>
      <c r="E55" s="2">
        <v>4535</v>
      </c>
      <c r="F55" s="154"/>
      <c r="G55" s="153"/>
      <c r="H55" s="463">
        <f>SUMIF('FY24'!A:A, 'Annual Budget '!A55, 'FY24'!AK:AK)</f>
        <v>0</v>
      </c>
      <c r="I55" s="462">
        <f>SUMIF(FBT!B:B, 'Annual Budget '!A55, FBT!J:J)</f>
        <v>0</v>
      </c>
      <c r="J55" s="3">
        <f t="shared" si="10"/>
        <v>0</v>
      </c>
      <c r="K55" s="3">
        <f t="shared" si="11"/>
        <v>0</v>
      </c>
      <c r="L55" s="158">
        <f>K55/$K$85</f>
        <v>0</v>
      </c>
      <c r="M55" s="158" t="str">
        <f t="shared" si="15"/>
        <v/>
      </c>
      <c r="N55" s="426"/>
    </row>
    <row r="56" spans="1:14">
      <c r="A56" s="374">
        <f t="shared" si="3"/>
        <v>46</v>
      </c>
      <c r="B56" s="40"/>
      <c r="C56" s="40"/>
      <c r="D56" s="40" t="s">
        <v>61</v>
      </c>
      <c r="E56" s="2" t="s">
        <v>62</v>
      </c>
      <c r="F56" s="154"/>
      <c r="G56" s="153"/>
      <c r="H56" s="463">
        <f>SUMIF('FY24'!A:A, 'Annual Budget '!A56, 'FY24'!AK:AK)</f>
        <v>0</v>
      </c>
      <c r="I56" s="462">
        <f>SUMIF(FBT!B:B, 'Annual Budget '!A56, FBT!J:J)</f>
        <v>0</v>
      </c>
      <c r="J56" s="3">
        <f t="shared" si="10"/>
        <v>0</v>
      </c>
      <c r="K56" s="3">
        <f t="shared" si="11"/>
        <v>0</v>
      </c>
      <c r="L56" s="158">
        <f>K56/$K$85</f>
        <v>0</v>
      </c>
      <c r="M56" s="158" t="str">
        <f t="shared" si="15"/>
        <v/>
      </c>
      <c r="N56" s="426"/>
    </row>
    <row r="57" spans="1:14">
      <c r="A57" s="374">
        <f t="shared" si="3"/>
        <v>47</v>
      </c>
      <c r="B57" s="101"/>
      <c r="C57" s="101"/>
      <c r="D57" s="101" t="s">
        <v>138</v>
      </c>
      <c r="E57" s="22"/>
      <c r="F57" s="154"/>
      <c r="G57" s="153"/>
      <c r="H57" s="26"/>
      <c r="I57" s="161"/>
      <c r="J57" s="3"/>
      <c r="K57" s="3"/>
      <c r="L57" s="158"/>
      <c r="M57" s="158"/>
      <c r="N57" s="438"/>
    </row>
    <row r="58" spans="1:14">
      <c r="A58" s="374">
        <f t="shared" si="3"/>
        <v>48</v>
      </c>
      <c r="B58" s="40"/>
      <c r="C58" s="40"/>
      <c r="D58" s="40" t="s">
        <v>135</v>
      </c>
      <c r="E58" s="2" t="s">
        <v>63</v>
      </c>
      <c r="F58" s="154"/>
      <c r="G58" s="153"/>
      <c r="H58" s="463">
        <f>SUMIF('FY24'!A:A, 'Annual Budget '!A58, 'FY24'!AK:AK)</f>
        <v>263933</v>
      </c>
      <c r="I58" s="462">
        <f>SUMIF(FBT!B:B, 'Annual Budget '!A58, FBT!J:J)</f>
        <v>750000</v>
      </c>
      <c r="J58" s="3">
        <f t="shared" si="10"/>
        <v>263933</v>
      </c>
      <c r="K58" s="3">
        <f t="shared" si="11"/>
        <v>750000</v>
      </c>
      <c r="L58" s="158">
        <f t="shared" ref="L58:L70" si="16">K58/$K$85</f>
        <v>0.13723181271922619</v>
      </c>
      <c r="M58" s="158">
        <f t="shared" ref="M58:M70" si="17">IFERROR(J58/K58,"")</f>
        <v>0.35191066666666665</v>
      </c>
      <c r="N58" s="426"/>
    </row>
    <row r="59" spans="1:14">
      <c r="A59" s="374">
        <f t="shared" si="3"/>
        <v>49</v>
      </c>
      <c r="B59" s="40"/>
      <c r="C59" s="40"/>
      <c r="D59" s="40" t="s">
        <v>136</v>
      </c>
      <c r="E59" s="2">
        <v>4550</v>
      </c>
      <c r="F59" s="154"/>
      <c r="G59" s="153"/>
      <c r="H59" s="463">
        <f>SUMIF('FY24'!A:A, 'Annual Budget '!A59, 'FY24'!AK:AK)</f>
        <v>0</v>
      </c>
      <c r="I59" s="462">
        <f>SUMIF(FBT!B:B, 'Annual Budget '!A59, FBT!J:J)</f>
        <v>0</v>
      </c>
      <c r="J59" s="3">
        <f t="shared" si="10"/>
        <v>0</v>
      </c>
      <c r="K59" s="3">
        <f t="shared" si="11"/>
        <v>0</v>
      </c>
      <c r="L59" s="158">
        <f t="shared" si="16"/>
        <v>0</v>
      </c>
      <c r="M59" s="158" t="str">
        <f t="shared" si="17"/>
        <v/>
      </c>
      <c r="N59" s="426"/>
    </row>
    <row r="60" spans="1:14">
      <c r="A60" s="374">
        <f t="shared" si="3"/>
        <v>50</v>
      </c>
      <c r="B60" s="40"/>
      <c r="C60" s="40"/>
      <c r="D60" s="40" t="s">
        <v>64</v>
      </c>
      <c r="E60" s="2" t="s">
        <v>65</v>
      </c>
      <c r="F60" s="154"/>
      <c r="G60" s="153"/>
      <c r="H60" s="463">
        <f>SUMIF('FY24'!A:A, 'Annual Budget '!A60, 'FY24'!AK:AK)</f>
        <v>0</v>
      </c>
      <c r="I60" s="462">
        <f>SUMIF(FBT!B:B, 'Annual Budget '!A60, FBT!J:J)</f>
        <v>0</v>
      </c>
      <c r="J60" s="3">
        <f t="shared" si="10"/>
        <v>0</v>
      </c>
      <c r="K60" s="3">
        <f t="shared" si="11"/>
        <v>0</v>
      </c>
      <c r="L60" s="158">
        <f t="shared" si="16"/>
        <v>0</v>
      </c>
      <c r="M60" s="158" t="str">
        <f t="shared" si="17"/>
        <v/>
      </c>
      <c r="N60" s="426"/>
    </row>
    <row r="61" spans="1:14">
      <c r="A61" s="374">
        <f t="shared" si="3"/>
        <v>51</v>
      </c>
      <c r="B61" s="40"/>
      <c r="C61" s="40"/>
      <c r="D61" s="40" t="s">
        <v>142</v>
      </c>
      <c r="E61" s="2" t="s">
        <v>66</v>
      </c>
      <c r="F61" s="154"/>
      <c r="G61" s="153"/>
      <c r="H61" s="463">
        <f>SUMIF('FY24'!A:A, 'Annual Budget '!A61, 'FY24'!AK:AK)</f>
        <v>27844</v>
      </c>
      <c r="I61" s="462">
        <f>SUMIF(FBT!B:B, 'Annual Budget '!A61, FBT!J:J)</f>
        <v>27778</v>
      </c>
      <c r="J61" s="3">
        <f t="shared" si="10"/>
        <v>27844</v>
      </c>
      <c r="K61" s="3">
        <f t="shared" si="11"/>
        <v>27778</v>
      </c>
      <c r="L61" s="158">
        <f t="shared" si="16"/>
        <v>5.0827003916195527E-3</v>
      </c>
      <c r="M61" s="158">
        <f t="shared" si="17"/>
        <v>1.002375980992152</v>
      </c>
      <c r="N61" s="426"/>
    </row>
    <row r="62" spans="1:14">
      <c r="A62" s="374">
        <f t="shared" si="3"/>
        <v>52</v>
      </c>
      <c r="B62" s="40"/>
      <c r="C62" s="40"/>
      <c r="D62" s="40" t="s">
        <v>151</v>
      </c>
      <c r="E62" s="2" t="s">
        <v>67</v>
      </c>
      <c r="F62" s="154"/>
      <c r="G62" s="153"/>
      <c r="H62" s="463">
        <f>SUMIF('FY24'!A:A, 'Annual Budget '!A62, 'FY24'!AK:AK)</f>
        <v>16633</v>
      </c>
      <c r="I62" s="462">
        <f>SUMIF(FBT!B:B, 'Annual Budget '!A62, FBT!J:J)</f>
        <v>18932</v>
      </c>
      <c r="J62" s="3">
        <f t="shared" si="10"/>
        <v>16633</v>
      </c>
      <c r="K62" s="3">
        <f t="shared" si="11"/>
        <v>18932</v>
      </c>
      <c r="L62" s="158">
        <f t="shared" si="16"/>
        <v>3.4640969045338535E-3</v>
      </c>
      <c r="M62" s="158">
        <f t="shared" si="17"/>
        <v>0.87856539192900907</v>
      </c>
      <c r="N62" s="426"/>
    </row>
    <row r="63" spans="1:14">
      <c r="A63" s="374">
        <f t="shared" si="3"/>
        <v>53</v>
      </c>
      <c r="B63" s="40"/>
      <c r="C63" s="40"/>
      <c r="D63" s="40" t="s">
        <v>143</v>
      </c>
      <c r="E63" s="2">
        <v>4559</v>
      </c>
      <c r="F63" s="154"/>
      <c r="G63" s="153"/>
      <c r="H63" s="463">
        <f>SUMIF('FY24'!A:A, 'Annual Budget '!A63, 'FY24'!AK:AK)</f>
        <v>0</v>
      </c>
      <c r="I63" s="462">
        <f>SUMIF(FBT!B:B, 'Annual Budget '!A63, FBT!J:J)</f>
        <v>0</v>
      </c>
      <c r="J63" s="3">
        <f t="shared" si="10"/>
        <v>0</v>
      </c>
      <c r="K63" s="3">
        <f t="shared" si="11"/>
        <v>0</v>
      </c>
      <c r="L63" s="158">
        <f t="shared" si="16"/>
        <v>0</v>
      </c>
      <c r="M63" s="158" t="str">
        <f t="shared" si="17"/>
        <v/>
      </c>
      <c r="N63" s="426"/>
    </row>
    <row r="64" spans="1:14">
      <c r="A64" s="374">
        <f t="shared" si="3"/>
        <v>54</v>
      </c>
      <c r="B64" s="40"/>
      <c r="C64" s="40"/>
      <c r="D64" s="40" t="s">
        <v>152</v>
      </c>
      <c r="E64" s="2">
        <v>4553</v>
      </c>
      <c r="F64" s="154"/>
      <c r="G64" s="153"/>
      <c r="H64" s="463">
        <f>SUMIF('FY24'!A:A, 'Annual Budget '!A64, 'FY24'!AK:AK)</f>
        <v>0</v>
      </c>
      <c r="I64" s="462">
        <f>SUMIF(FBT!B:B, 'Annual Budget '!A64, FBT!J:J)</f>
        <v>0</v>
      </c>
      <c r="J64" s="3">
        <f t="shared" si="10"/>
        <v>0</v>
      </c>
      <c r="K64" s="3">
        <f t="shared" si="11"/>
        <v>0</v>
      </c>
      <c r="L64" s="158">
        <f t="shared" si="16"/>
        <v>0</v>
      </c>
      <c r="M64" s="158" t="str">
        <f t="shared" si="17"/>
        <v/>
      </c>
      <c r="N64" s="426"/>
    </row>
    <row r="65" spans="1:14">
      <c r="A65" s="374">
        <f t="shared" si="3"/>
        <v>55</v>
      </c>
      <c r="B65" s="40"/>
      <c r="C65" s="40"/>
      <c r="D65" s="40" t="s">
        <v>141</v>
      </c>
      <c r="E65" s="2">
        <v>4559</v>
      </c>
      <c r="F65" s="154"/>
      <c r="G65" s="153"/>
      <c r="H65" s="463">
        <f>SUMIF('FY24'!A:A, 'Annual Budget '!A65, 'FY24'!AK:AK)</f>
        <v>0</v>
      </c>
      <c r="I65" s="462">
        <f>SUMIF(FBT!B:B, 'Annual Budget '!A65, FBT!J:J)</f>
        <v>0</v>
      </c>
      <c r="J65" s="3">
        <f t="shared" si="10"/>
        <v>0</v>
      </c>
      <c r="K65" s="3">
        <f t="shared" si="11"/>
        <v>0</v>
      </c>
      <c r="L65" s="158">
        <f t="shared" si="16"/>
        <v>0</v>
      </c>
      <c r="M65" s="158" t="str">
        <f t="shared" si="17"/>
        <v/>
      </c>
      <c r="N65" s="426"/>
    </row>
    <row r="66" spans="1:14">
      <c r="A66" s="374">
        <f t="shared" si="3"/>
        <v>56</v>
      </c>
      <c r="B66" s="101"/>
      <c r="C66" s="101"/>
      <c r="D66" s="101" t="s">
        <v>189</v>
      </c>
      <c r="E66" s="43"/>
      <c r="F66" s="361"/>
      <c r="G66" s="362"/>
      <c r="H66" s="147"/>
      <c r="I66" s="148"/>
      <c r="J66" s="3">
        <f t="shared" si="10"/>
        <v>0</v>
      </c>
      <c r="K66" s="3">
        <f t="shared" si="11"/>
        <v>0</v>
      </c>
      <c r="L66" s="158">
        <f t="shared" si="16"/>
        <v>0</v>
      </c>
      <c r="M66" s="158" t="str">
        <f t="shared" si="17"/>
        <v/>
      </c>
      <c r="N66" s="426"/>
    </row>
    <row r="67" spans="1:14">
      <c r="A67" s="374">
        <f t="shared" si="3"/>
        <v>57</v>
      </c>
      <c r="B67" s="40"/>
      <c r="C67" s="40"/>
      <c r="D67" s="40" t="s">
        <v>153</v>
      </c>
      <c r="E67" s="2">
        <v>4590</v>
      </c>
      <c r="F67" s="154"/>
      <c r="G67" s="153"/>
      <c r="H67" s="463">
        <f>SUMIF('FY24'!A:A, 'Annual Budget '!A67, 'FY24'!AK:AK)</f>
        <v>0</v>
      </c>
      <c r="I67" s="462">
        <f>SUMIF(FBT!B:B, 'Annual Budget '!A67, FBT!J:J)</f>
        <v>0</v>
      </c>
      <c r="J67" s="3">
        <f t="shared" si="10"/>
        <v>0</v>
      </c>
      <c r="K67" s="3">
        <f t="shared" si="11"/>
        <v>0</v>
      </c>
      <c r="L67" s="158">
        <f t="shared" si="16"/>
        <v>0</v>
      </c>
      <c r="M67" s="158" t="str">
        <f t="shared" si="17"/>
        <v/>
      </c>
      <c r="N67" s="426"/>
    </row>
    <row r="68" spans="1:14">
      <c r="A68" s="374">
        <f t="shared" si="3"/>
        <v>58</v>
      </c>
      <c r="B68" s="40"/>
      <c r="C68" s="40"/>
      <c r="D68" s="40" t="s">
        <v>154</v>
      </c>
      <c r="E68" s="2">
        <v>4590</v>
      </c>
      <c r="F68" s="154"/>
      <c r="G68" s="153"/>
      <c r="H68" s="463">
        <f>SUMIF('FY24'!A:A, 'Annual Budget '!A68, 'FY24'!AK:AK)</f>
        <v>0</v>
      </c>
      <c r="I68" s="462">
        <f>SUMIF(FBT!B:B, 'Annual Budget '!A68, FBT!J:J)</f>
        <v>0</v>
      </c>
      <c r="J68" s="3">
        <f t="shared" si="10"/>
        <v>0</v>
      </c>
      <c r="K68" s="3">
        <f t="shared" si="11"/>
        <v>0</v>
      </c>
      <c r="L68" s="158">
        <f t="shared" si="16"/>
        <v>0</v>
      </c>
      <c r="M68" s="158" t="str">
        <f t="shared" si="17"/>
        <v/>
      </c>
      <c r="N68" s="426"/>
    </row>
    <row r="69" spans="1:14">
      <c r="A69" s="374">
        <f t="shared" si="3"/>
        <v>59</v>
      </c>
      <c r="B69" s="40"/>
      <c r="C69" s="40"/>
      <c r="D69" s="40" t="s">
        <v>155</v>
      </c>
      <c r="E69" s="2">
        <v>4590</v>
      </c>
      <c r="F69" s="154"/>
      <c r="G69" s="153"/>
      <c r="H69" s="463">
        <f>SUMIF('FY24'!A:A, 'Annual Budget '!A69, 'FY24'!AK:AK)</f>
        <v>0</v>
      </c>
      <c r="I69" s="462">
        <f>SUMIF(FBT!B:B, 'Annual Budget '!A69, FBT!J:J)</f>
        <v>0</v>
      </c>
      <c r="J69" s="3">
        <f t="shared" si="10"/>
        <v>0</v>
      </c>
      <c r="K69" s="3">
        <f t="shared" si="11"/>
        <v>0</v>
      </c>
      <c r="L69" s="158">
        <f t="shared" si="16"/>
        <v>0</v>
      </c>
      <c r="M69" s="158" t="str">
        <f t="shared" si="17"/>
        <v/>
      </c>
      <c r="N69" s="426"/>
    </row>
    <row r="70" spans="1:14">
      <c r="A70" s="374">
        <f t="shared" si="3"/>
        <v>60</v>
      </c>
      <c r="B70" s="40"/>
      <c r="C70" s="40"/>
      <c r="D70" s="40" t="s">
        <v>156</v>
      </c>
      <c r="E70" s="2">
        <v>4590</v>
      </c>
      <c r="F70" s="154"/>
      <c r="G70" s="153"/>
      <c r="H70" s="463">
        <f>SUMIF('FY24'!A:A, 'Annual Budget '!A70, 'FY24'!AK:AK)</f>
        <v>1418387</v>
      </c>
      <c r="I70" s="462">
        <f>SUMIF(FBT!B:B, 'Annual Budget '!A70, FBT!J:J)</f>
        <v>600000</v>
      </c>
      <c r="J70" s="3">
        <f t="shared" si="10"/>
        <v>1418387</v>
      </c>
      <c r="K70" s="3">
        <f t="shared" si="11"/>
        <v>600000</v>
      </c>
      <c r="L70" s="158">
        <f t="shared" si="16"/>
        <v>0.10978545017538094</v>
      </c>
      <c r="M70" s="158">
        <f t="shared" si="17"/>
        <v>2.3639783333333333</v>
      </c>
      <c r="N70" s="426"/>
    </row>
    <row r="71" spans="1:14">
      <c r="A71" s="374">
        <f t="shared" si="3"/>
        <v>61</v>
      </c>
      <c r="B71" s="40"/>
      <c r="C71" s="40"/>
      <c r="D71" s="40" t="s">
        <v>157</v>
      </c>
      <c r="E71" s="2">
        <v>4590</v>
      </c>
      <c r="F71" s="154"/>
      <c r="G71" s="153"/>
      <c r="H71" s="463">
        <f>SUMIF('FY24'!A:A, 'Annual Budget '!A71, 'FY24'!AK:AK)</f>
        <v>0</v>
      </c>
      <c r="I71" s="462">
        <f>SUMIF(FBT!B:B, 'Annual Budget '!A71, FBT!J:J)</f>
        <v>0</v>
      </c>
      <c r="J71" s="3"/>
      <c r="K71" s="3"/>
      <c r="L71" s="158"/>
      <c r="M71" s="158"/>
      <c r="N71" s="426"/>
    </row>
    <row r="72" spans="1:14">
      <c r="A72" s="374">
        <f t="shared" si="3"/>
        <v>62</v>
      </c>
      <c r="B72" s="40"/>
      <c r="C72" s="40"/>
      <c r="D72" s="40" t="s">
        <v>211</v>
      </c>
      <c r="E72" s="2">
        <v>4590</v>
      </c>
      <c r="F72" s="154"/>
      <c r="G72" s="153"/>
      <c r="H72" s="463">
        <f>SUMIF('FY24'!A:A, 'Annual Budget '!A72, 'FY24'!AK:AK)</f>
        <v>0</v>
      </c>
      <c r="I72" s="462">
        <f>SUMIF(FBT!B:B, 'Annual Budget '!A72, FBT!J:J)</f>
        <v>0</v>
      </c>
      <c r="J72" s="3">
        <f t="shared" si="10"/>
        <v>0</v>
      </c>
      <c r="K72" s="3">
        <f t="shared" si="11"/>
        <v>0</v>
      </c>
      <c r="L72" s="158">
        <f t="shared" ref="L72:L80" si="18">K72/$K$85</f>
        <v>0</v>
      </c>
      <c r="M72" s="158" t="str">
        <f t="shared" ref="M72:M80" si="19">IFERROR(J72/K72,"")</f>
        <v/>
      </c>
      <c r="N72" s="426"/>
    </row>
    <row r="73" spans="1:14">
      <c r="A73" s="374">
        <f t="shared" si="3"/>
        <v>63</v>
      </c>
      <c r="B73" s="40"/>
      <c r="C73" s="40"/>
      <c r="D73" s="40" t="s">
        <v>113</v>
      </c>
      <c r="E73" s="2">
        <v>4580</v>
      </c>
      <c r="F73" s="154"/>
      <c r="G73" s="153"/>
      <c r="H73" s="463">
        <f>SUMIF('FY24'!A:A, 'Annual Budget '!A73, 'FY24'!AK:AK)</f>
        <v>0</v>
      </c>
      <c r="I73" s="462">
        <f>SUMIF(FBT!B:B, 'Annual Budget '!A73, FBT!J:J)</f>
        <v>0</v>
      </c>
      <c r="J73" s="3">
        <f t="shared" si="10"/>
        <v>0</v>
      </c>
      <c r="K73" s="3">
        <f t="shared" si="11"/>
        <v>0</v>
      </c>
      <c r="L73" s="158">
        <f t="shared" si="18"/>
        <v>0</v>
      </c>
      <c r="M73" s="158" t="str">
        <f t="shared" si="19"/>
        <v/>
      </c>
      <c r="N73" s="426"/>
    </row>
    <row r="74" spans="1:14">
      <c r="A74" s="374">
        <f t="shared" si="3"/>
        <v>64</v>
      </c>
      <c r="B74" s="40"/>
      <c r="C74" s="40"/>
      <c r="D74" s="40" t="s">
        <v>190</v>
      </c>
      <c r="E74" s="2" t="s">
        <v>68</v>
      </c>
      <c r="F74" s="154"/>
      <c r="G74" s="153"/>
      <c r="H74" s="463">
        <f>SUMIF('FY24'!A:A, 'Annual Budget '!A74, 'FY24'!AK:AK)</f>
        <v>0</v>
      </c>
      <c r="I74" s="462">
        <f>SUMIF(FBT!B:B, 'Annual Budget '!A74, FBT!J:J)</f>
        <v>0</v>
      </c>
      <c r="J74" s="3">
        <f t="shared" si="10"/>
        <v>0</v>
      </c>
      <c r="K74" s="3">
        <f t="shared" si="11"/>
        <v>0</v>
      </c>
      <c r="L74" s="158">
        <f t="shared" si="18"/>
        <v>0</v>
      </c>
      <c r="M74" s="158" t="str">
        <f t="shared" si="19"/>
        <v/>
      </c>
      <c r="N74" s="426"/>
    </row>
    <row r="75" spans="1:14">
      <c r="A75" s="374">
        <f t="shared" si="3"/>
        <v>65</v>
      </c>
      <c r="B75" s="40"/>
      <c r="C75" s="40"/>
      <c r="D75" s="72" t="s">
        <v>139</v>
      </c>
      <c r="E75" s="2">
        <v>4590</v>
      </c>
      <c r="F75" s="154"/>
      <c r="G75" s="153"/>
      <c r="H75" s="463">
        <f>SUMIF('FY24'!A:A, 'Annual Budget '!A75, 'FY24'!AK:AK)</f>
        <v>0</v>
      </c>
      <c r="I75" s="462">
        <f>SUMIF(FBT!B:B, 'Annual Budget '!A75, FBT!J:J)</f>
        <v>0</v>
      </c>
      <c r="J75" s="3">
        <f t="shared" si="10"/>
        <v>0</v>
      </c>
      <c r="K75" s="3">
        <f t="shared" si="11"/>
        <v>0</v>
      </c>
      <c r="L75" s="158">
        <f t="shared" si="18"/>
        <v>0</v>
      </c>
      <c r="M75" s="158" t="str">
        <f t="shared" si="19"/>
        <v/>
      </c>
      <c r="N75" s="426"/>
    </row>
    <row r="76" spans="1:14">
      <c r="A76" s="374">
        <f t="shared" si="3"/>
        <v>66</v>
      </c>
      <c r="B76" s="452"/>
      <c r="C76" s="446" t="s">
        <v>181</v>
      </c>
      <c r="D76" s="452"/>
      <c r="E76" s="453"/>
      <c r="F76" s="454"/>
      <c r="G76" s="455"/>
      <c r="H76" s="454"/>
      <c r="I76" s="462">
        <f>SUMIF(FBT!B:B, 'Annual Budget '!A76, FBT!J:J)</f>
        <v>0</v>
      </c>
      <c r="J76" s="3">
        <f t="shared" si="10"/>
        <v>0</v>
      </c>
      <c r="K76" s="3">
        <f t="shared" si="11"/>
        <v>0</v>
      </c>
      <c r="L76" s="158">
        <f t="shared" si="18"/>
        <v>0</v>
      </c>
      <c r="M76" s="158" t="str">
        <f t="shared" si="19"/>
        <v/>
      </c>
      <c r="N76" s="426"/>
    </row>
    <row r="77" spans="1:14">
      <c r="A77" s="374">
        <f t="shared" si="3"/>
        <v>67</v>
      </c>
      <c r="B77" s="452"/>
      <c r="C77" s="446" t="s">
        <v>181</v>
      </c>
      <c r="D77" s="452"/>
      <c r="E77" s="453"/>
      <c r="F77" s="454"/>
      <c r="G77" s="455"/>
      <c r="H77" s="454"/>
      <c r="I77" s="462">
        <f>SUMIF(FBT!B:B, 'Annual Budget '!A77, FBT!J:J)</f>
        <v>0</v>
      </c>
      <c r="J77" s="3">
        <f t="shared" si="10"/>
        <v>0</v>
      </c>
      <c r="K77" s="3">
        <f t="shared" si="11"/>
        <v>0</v>
      </c>
      <c r="L77" s="158">
        <f t="shared" si="18"/>
        <v>0</v>
      </c>
      <c r="M77" s="158" t="str">
        <f t="shared" si="19"/>
        <v/>
      </c>
      <c r="N77" s="426"/>
    </row>
    <row r="78" spans="1:14" ht="14.25" customHeight="1">
      <c r="A78" s="374">
        <f t="shared" si="3"/>
        <v>68</v>
      </c>
      <c r="B78" s="452"/>
      <c r="C78" s="446" t="s">
        <v>181</v>
      </c>
      <c r="D78" s="452"/>
      <c r="E78" s="453"/>
      <c r="F78" s="454"/>
      <c r="G78" s="455"/>
      <c r="H78" s="454"/>
      <c r="I78" s="462">
        <f>SUMIF(FBT!B:B, 'Annual Budget '!A78, FBT!J:J)</f>
        <v>0</v>
      </c>
      <c r="J78" s="3">
        <f t="shared" si="10"/>
        <v>0</v>
      </c>
      <c r="K78" s="3">
        <f t="shared" si="11"/>
        <v>0</v>
      </c>
      <c r="L78" s="158">
        <f t="shared" si="18"/>
        <v>0</v>
      </c>
      <c r="M78" s="158" t="str">
        <f t="shared" si="19"/>
        <v/>
      </c>
      <c r="N78" s="426"/>
    </row>
    <row r="79" spans="1:14" ht="14.25" customHeight="1">
      <c r="A79" s="374">
        <f t="shared" ref="A79:A142" si="20">A78+1</f>
        <v>69</v>
      </c>
      <c r="B79" s="446"/>
      <c r="C79" s="446" t="s">
        <v>181</v>
      </c>
      <c r="D79" s="446"/>
      <c r="E79" s="451"/>
      <c r="F79" s="449"/>
      <c r="G79" s="450"/>
      <c r="H79" s="449"/>
      <c r="I79" s="450"/>
      <c r="J79" s="4">
        <f t="shared" si="10"/>
        <v>0</v>
      </c>
      <c r="K79" s="4">
        <f t="shared" si="11"/>
        <v>0</v>
      </c>
      <c r="L79" s="162">
        <f t="shared" si="18"/>
        <v>0</v>
      </c>
      <c r="M79" s="162" t="str">
        <f t="shared" si="19"/>
        <v/>
      </c>
      <c r="N79" s="426"/>
    </row>
    <row r="80" spans="1:14">
      <c r="A80" s="375">
        <f t="shared" si="20"/>
        <v>70</v>
      </c>
      <c r="B80" s="58" t="s">
        <v>69</v>
      </c>
      <c r="C80" s="58"/>
      <c r="D80" s="58"/>
      <c r="E80" s="44"/>
      <c r="F80" s="352">
        <f>SUM(F43:F79)</f>
        <v>0</v>
      </c>
      <c r="G80" s="149">
        <f>SUM(G43:G79)</f>
        <v>0</v>
      </c>
      <c r="H80" s="352">
        <f>SUM(H43:H79)</f>
        <v>1998415.03</v>
      </c>
      <c r="I80" s="149">
        <f>SUM(I43:I79)</f>
        <v>1708582.583360787</v>
      </c>
      <c r="J80" s="6">
        <f t="shared" si="10"/>
        <v>1998415.03</v>
      </c>
      <c r="K80" s="6">
        <f t="shared" si="11"/>
        <v>1708582.583360787</v>
      </c>
      <c r="L80" s="129">
        <f t="shared" si="18"/>
        <v>0.31262918012679891</v>
      </c>
      <c r="M80" s="129">
        <f t="shared" si="19"/>
        <v>1.1696332676346914</v>
      </c>
      <c r="N80" s="430"/>
    </row>
    <row r="81" spans="1:14" ht="18" customHeight="1">
      <c r="A81" s="374">
        <f t="shared" si="20"/>
        <v>71</v>
      </c>
      <c r="B81" s="40"/>
      <c r="C81" s="40"/>
      <c r="D81" s="40"/>
      <c r="E81" s="45"/>
      <c r="F81" s="171"/>
      <c r="G81" s="170"/>
      <c r="H81" s="171"/>
      <c r="I81" s="170"/>
      <c r="J81" s="172"/>
      <c r="K81" s="172"/>
      <c r="L81" s="173"/>
      <c r="M81" s="173"/>
      <c r="N81" s="439"/>
    </row>
    <row r="82" spans="1:14">
      <c r="A82" s="375">
        <f t="shared" si="20"/>
        <v>72</v>
      </c>
      <c r="B82" s="58" t="s">
        <v>191</v>
      </c>
      <c r="C82" s="58"/>
      <c r="D82" s="58"/>
      <c r="E82" s="42"/>
      <c r="F82" s="28"/>
      <c r="G82" s="155"/>
      <c r="H82" s="28"/>
      <c r="I82" s="155"/>
      <c r="J82" s="14"/>
      <c r="K82" s="14"/>
      <c r="L82" s="146"/>
      <c r="M82" s="146"/>
      <c r="N82" s="440"/>
    </row>
    <row r="83" spans="1:14" ht="18" customHeight="1">
      <c r="A83" s="374">
        <f t="shared" si="20"/>
        <v>73</v>
      </c>
      <c r="B83" s="446"/>
      <c r="C83" s="446"/>
      <c r="D83" s="446"/>
      <c r="E83" s="448"/>
      <c r="F83" s="449"/>
      <c r="G83" s="450"/>
      <c r="H83" s="449"/>
      <c r="I83" s="450"/>
      <c r="J83" s="3">
        <f t="shared" si="10"/>
        <v>0</v>
      </c>
      <c r="K83" s="3">
        <f t="shared" si="11"/>
        <v>0</v>
      </c>
      <c r="L83" s="158">
        <f>K83/$K$85</f>
        <v>0</v>
      </c>
      <c r="M83" s="158" t="str">
        <f t="shared" ref="M83:M85" si="21">IFERROR(J83/K83,"")</f>
        <v/>
      </c>
      <c r="N83" s="426"/>
    </row>
    <row r="84" spans="1:14">
      <c r="A84" s="374">
        <f t="shared" si="20"/>
        <v>74</v>
      </c>
      <c r="B84" s="446"/>
      <c r="C84" s="446"/>
      <c r="D84" s="446"/>
      <c r="E84" s="451"/>
      <c r="F84" s="449"/>
      <c r="G84" s="450"/>
      <c r="H84" s="449"/>
      <c r="I84" s="450"/>
      <c r="J84" s="4">
        <f t="shared" si="10"/>
        <v>0</v>
      </c>
      <c r="K84" s="4">
        <f t="shared" si="11"/>
        <v>0</v>
      </c>
      <c r="L84" s="162">
        <f>K84/$K$85</f>
        <v>0</v>
      </c>
      <c r="M84" s="162" t="str">
        <f t="shared" si="21"/>
        <v/>
      </c>
      <c r="N84" s="426"/>
    </row>
    <row r="85" spans="1:14" ht="18.75" customHeight="1" thickBot="1">
      <c r="A85" s="376">
        <f t="shared" si="20"/>
        <v>75</v>
      </c>
      <c r="B85" s="130" t="s">
        <v>74</v>
      </c>
      <c r="C85" s="130"/>
      <c r="D85" s="130"/>
      <c r="E85" s="46"/>
      <c r="F85" s="363">
        <f>F22+F39+F80+F83+F84</f>
        <v>2336677.1799999997</v>
      </c>
      <c r="G85" s="174">
        <f>G22+G39+G80+G83+G84</f>
        <v>3751404.4965610709</v>
      </c>
      <c r="H85" s="363">
        <f>H22+H39+H80+H83+H84</f>
        <v>1998415.03</v>
      </c>
      <c r="I85" s="174">
        <f>I22+I39+I80+I83+I84</f>
        <v>1713800.583360787</v>
      </c>
      <c r="J85" s="359">
        <f t="shared" si="10"/>
        <v>4335092.21</v>
      </c>
      <c r="K85" s="359">
        <f t="shared" si="11"/>
        <v>5465205.0799218584</v>
      </c>
      <c r="L85" s="163">
        <f>K85/$K$85</f>
        <v>1</v>
      </c>
      <c r="M85" s="163">
        <f t="shared" si="21"/>
        <v>0.79321674971106171</v>
      </c>
      <c r="N85" s="441"/>
    </row>
    <row r="86" spans="1:14" ht="20.25" customHeight="1" thickTop="1">
      <c r="A86" s="377">
        <f t="shared" si="20"/>
        <v>76</v>
      </c>
      <c r="B86" s="816" t="s">
        <v>92</v>
      </c>
      <c r="C86" s="817"/>
      <c r="D86" s="817"/>
      <c r="E86" s="139"/>
      <c r="F86" s="176"/>
      <c r="G86" s="175"/>
      <c r="H86" s="364"/>
      <c r="I86" s="57"/>
      <c r="J86" s="177"/>
      <c r="K86" s="365"/>
      <c r="L86" s="178"/>
      <c r="M86" s="178"/>
      <c r="N86" s="442"/>
    </row>
    <row r="87" spans="1:14" ht="17.25" customHeight="1">
      <c r="A87" s="378">
        <f t="shared" si="20"/>
        <v>77</v>
      </c>
      <c r="B87" s="51"/>
      <c r="C87" s="52"/>
      <c r="D87" s="52" t="s">
        <v>75</v>
      </c>
      <c r="E87" s="17"/>
      <c r="F87" s="20"/>
      <c r="G87" s="19"/>
      <c r="H87" s="21"/>
      <c r="I87" s="19"/>
      <c r="J87" s="18"/>
      <c r="K87" s="18"/>
      <c r="L87" s="158"/>
      <c r="M87" s="158"/>
      <c r="N87" s="443"/>
    </row>
    <row r="88" spans="1:14" ht="17.25" customHeight="1">
      <c r="A88" s="374">
        <f t="shared" si="20"/>
        <v>78</v>
      </c>
      <c r="B88" s="53"/>
      <c r="C88" s="54" t="s">
        <v>30</v>
      </c>
      <c r="D88" s="55"/>
      <c r="E88" s="10"/>
      <c r="F88" s="11"/>
      <c r="G88" s="12"/>
      <c r="H88" s="13"/>
      <c r="I88" s="12"/>
      <c r="J88" s="14"/>
      <c r="K88" s="14"/>
      <c r="L88" s="146"/>
      <c r="M88" s="146"/>
      <c r="N88" s="440"/>
    </row>
    <row r="89" spans="1:14" ht="15" customHeight="1">
      <c r="A89" s="374">
        <f t="shared" si="20"/>
        <v>79</v>
      </c>
      <c r="B89" s="53"/>
      <c r="C89" s="56"/>
      <c r="D89" s="40" t="s">
        <v>27</v>
      </c>
      <c r="E89" s="2">
        <v>111</v>
      </c>
      <c r="F89" s="457">
        <f>SUMIF('FY24'!A:A, 'Annual Budget '!A89, 'FY24'!AJ:AJ)</f>
        <v>10333.36</v>
      </c>
      <c r="G89" s="462">
        <f>SUMIF(FBT!B:B, 'Annual Budget '!A89, FBT!I:I)</f>
        <v>90125.041200000007</v>
      </c>
      <c r="H89" s="463">
        <f>SUMIF('FY24'!A:A, 'Annual Budget '!A89, 'FY24'!AK:AK)</f>
        <v>50000</v>
      </c>
      <c r="I89" s="462">
        <f>SUMIF(FBT!B:B, 'Annual Budget '!A89, FBT!J:J)</f>
        <v>0</v>
      </c>
      <c r="J89" s="3">
        <f t="shared" si="10"/>
        <v>60333.36</v>
      </c>
      <c r="K89" s="3">
        <f t="shared" si="11"/>
        <v>90125.041200000007</v>
      </c>
      <c r="L89" s="158">
        <f>K89/$K$156</f>
        <v>1.7532849526131395E-2</v>
      </c>
      <c r="M89" s="158">
        <f t="shared" ref="M89:M97" si="22">IFERROR(J89/K89,"")</f>
        <v>0.66944058162605302</v>
      </c>
      <c r="N89" s="426"/>
    </row>
    <row r="90" spans="1:14" ht="15" customHeight="1">
      <c r="A90" s="374">
        <f t="shared" si="20"/>
        <v>80</v>
      </c>
      <c r="B90" s="53"/>
      <c r="C90" s="56"/>
      <c r="D90" s="40" t="s">
        <v>28</v>
      </c>
      <c r="E90" s="2">
        <v>111</v>
      </c>
      <c r="F90" s="457">
        <f>SUMIF('FY24'!A:A, 'Annual Budget '!A90, 'FY24'!AJ:AJ)</f>
        <v>0</v>
      </c>
      <c r="G90" s="462">
        <f>SUMIF(FBT!B:B, 'Annual Budget '!A90, FBT!I:I)</f>
        <v>0</v>
      </c>
      <c r="H90" s="463">
        <f>SUMIF('FY24'!A:A, 'Annual Budget '!A90, 'FY24'!AK:AK)</f>
        <v>0</v>
      </c>
      <c r="I90" s="462">
        <f>SUMIF(FBT!B:B, 'Annual Budget '!A90, FBT!J:J)</f>
        <v>0</v>
      </c>
      <c r="J90" s="3">
        <f t="shared" si="10"/>
        <v>0</v>
      </c>
      <c r="K90" s="3">
        <f t="shared" si="11"/>
        <v>0</v>
      </c>
      <c r="L90" s="158">
        <f t="shared" ref="L90:L97" si="23">K90/$K$156</f>
        <v>0</v>
      </c>
      <c r="M90" s="158" t="str">
        <f t="shared" si="22"/>
        <v/>
      </c>
      <c r="N90" s="426"/>
    </row>
    <row r="91" spans="1:14" ht="15" customHeight="1">
      <c r="A91" s="374">
        <f t="shared" si="20"/>
        <v>81</v>
      </c>
      <c r="B91" s="53"/>
      <c r="C91" s="56"/>
      <c r="D91" s="40" t="s">
        <v>196</v>
      </c>
      <c r="E91" s="2">
        <v>111</v>
      </c>
      <c r="F91" s="457">
        <f>SUMIF('FY24'!A:A, 'Annual Budget '!A91, 'FY24'!AJ:AJ)</f>
        <v>257481.21000000002</v>
      </c>
      <c r="G91" s="462">
        <f>SUMIF(FBT!B:B, 'Annual Budget '!A91, FBT!I:I)</f>
        <v>157301</v>
      </c>
      <c r="H91" s="463">
        <f>SUMIF('FY24'!A:A, 'Annual Budget '!A91, 'FY24'!AK:AK)</f>
        <v>102905.18</v>
      </c>
      <c r="I91" s="462">
        <f>SUMIF(FBT!B:B, 'Annual Budget '!A91, FBT!J:J)</f>
        <v>328815</v>
      </c>
      <c r="J91" s="3">
        <f t="shared" si="10"/>
        <v>360386.39</v>
      </c>
      <c r="K91" s="3">
        <f t="shared" si="11"/>
        <v>486116</v>
      </c>
      <c r="L91" s="158">
        <f t="shared" si="23"/>
        <v>9.4568596771358676E-2</v>
      </c>
      <c r="M91" s="158">
        <f t="shared" si="22"/>
        <v>0.74135883204831776</v>
      </c>
      <c r="N91" s="426"/>
    </row>
    <row r="92" spans="1:14" ht="15" customHeight="1">
      <c r="A92" s="374">
        <f t="shared" si="20"/>
        <v>82</v>
      </c>
      <c r="B92" s="53"/>
      <c r="C92" s="40" t="s">
        <v>5</v>
      </c>
      <c r="D92" s="40"/>
      <c r="E92" s="2">
        <v>112</v>
      </c>
      <c r="F92" s="457">
        <f>SUMIF('FY24'!A:A, 'Annual Budget '!A92, 'FY24'!AJ:AJ)</f>
        <v>599696.02</v>
      </c>
      <c r="G92" s="462">
        <f>SUMIF(FBT!B:B, 'Annual Budget '!A92, FBT!I:I)</f>
        <v>680606</v>
      </c>
      <c r="H92" s="463">
        <f>SUMIF('FY24'!A:A, 'Annual Budget '!A92, 'FY24'!AK:AK)</f>
        <v>729634</v>
      </c>
      <c r="I92" s="462">
        <f>SUMIF(FBT!B:B, 'Annual Budget '!A92, FBT!J:J)</f>
        <v>796350</v>
      </c>
      <c r="J92" s="3">
        <f t="shared" si="10"/>
        <v>1329330.02</v>
      </c>
      <c r="K92" s="3">
        <f t="shared" si="11"/>
        <v>1476956</v>
      </c>
      <c r="L92" s="158">
        <f t="shared" si="23"/>
        <v>0.28732577494474332</v>
      </c>
      <c r="M92" s="158">
        <f t="shared" si="22"/>
        <v>0.90004713749089349</v>
      </c>
      <c r="N92" s="426"/>
    </row>
    <row r="93" spans="1:14" ht="15" customHeight="1">
      <c r="A93" s="374">
        <f t="shared" si="20"/>
        <v>83</v>
      </c>
      <c r="B93" s="40"/>
      <c r="C93" s="40" t="s">
        <v>29</v>
      </c>
      <c r="D93" s="40"/>
      <c r="E93" s="2">
        <v>113</v>
      </c>
      <c r="F93" s="457">
        <f>SUMIF('FY24'!A:A, 'Annual Budget '!A93, 'FY24'!AJ:AJ)</f>
        <v>58079.71</v>
      </c>
      <c r="G93" s="462">
        <f>SUMIF(FBT!B:B, 'Annual Budget '!A93, FBT!I:I)</f>
        <v>0</v>
      </c>
      <c r="H93" s="463">
        <f>SUMIF('FY24'!A:A, 'Annual Budget '!A93, 'FY24'!AK:AK)</f>
        <v>97977</v>
      </c>
      <c r="I93" s="462">
        <f>SUMIF(FBT!B:B, 'Annual Budget '!A93, FBT!J:J)</f>
        <v>55336</v>
      </c>
      <c r="J93" s="3">
        <f t="shared" si="10"/>
        <v>156056.71</v>
      </c>
      <c r="K93" s="3">
        <f t="shared" si="11"/>
        <v>55336</v>
      </c>
      <c r="L93" s="158">
        <f t="shared" si="23"/>
        <v>1.0765018783458894E-2</v>
      </c>
      <c r="M93" s="158">
        <f t="shared" si="22"/>
        <v>2.8201660763336704</v>
      </c>
      <c r="N93" s="426"/>
    </row>
    <row r="94" spans="1:14" ht="15" customHeight="1">
      <c r="A94" s="374">
        <f t="shared" si="20"/>
        <v>84</v>
      </c>
      <c r="B94" s="40"/>
      <c r="C94" s="40" t="s">
        <v>31</v>
      </c>
      <c r="D94" s="40"/>
      <c r="E94" s="2">
        <v>114</v>
      </c>
      <c r="F94" s="457">
        <f>SUMIF('FY24'!A:A, 'Annual Budget '!A94, 'FY24'!AJ:AJ)</f>
        <v>46530.6</v>
      </c>
      <c r="G94" s="462">
        <f>SUMIF(FBT!B:B, 'Annual Budget '!A94, FBT!I:I)</f>
        <v>155222</v>
      </c>
      <c r="H94" s="463">
        <f>SUMIF('FY24'!A:A, 'Annual Budget '!A94, 'FY24'!AK:AK)</f>
        <v>480</v>
      </c>
      <c r="I94" s="462">
        <f>SUMIF(FBT!B:B, 'Annual Budget '!A94, FBT!J:J)</f>
        <v>0</v>
      </c>
      <c r="J94" s="3">
        <f t="shared" si="10"/>
        <v>47010.6</v>
      </c>
      <c r="K94" s="3">
        <f t="shared" si="11"/>
        <v>155222</v>
      </c>
      <c r="L94" s="158">
        <f t="shared" si="23"/>
        <v>3.0196757004591162E-2</v>
      </c>
      <c r="M94" s="158">
        <f t="shared" si="22"/>
        <v>0.30286041927046425</v>
      </c>
      <c r="N94" s="426"/>
    </row>
    <row r="95" spans="1:14" ht="15" customHeight="1">
      <c r="A95" s="374">
        <f t="shared" si="20"/>
        <v>85</v>
      </c>
      <c r="B95" s="40"/>
      <c r="C95" s="40" t="s">
        <v>34</v>
      </c>
      <c r="D95" s="40"/>
      <c r="E95" s="2">
        <v>116</v>
      </c>
      <c r="F95" s="457">
        <f>SUMIF('FY24'!A:A, 'Annual Budget '!A95, 'FY24'!AJ:AJ)</f>
        <v>2281.7899999999936</v>
      </c>
      <c r="G95" s="462">
        <f>SUMIF(FBT!B:B, 'Annual Budget '!A95, FBT!I:I)</f>
        <v>0</v>
      </c>
      <c r="H95" s="463">
        <f>SUMIF('FY24'!A:A, 'Annual Budget '!A95, 'FY24'!AK:AK)</f>
        <v>67526.11</v>
      </c>
      <c r="I95" s="462">
        <f>SUMIF(FBT!B:B, 'Annual Budget '!A95, FBT!J:J)</f>
        <v>0</v>
      </c>
      <c r="J95" s="3">
        <f t="shared" si="10"/>
        <v>69807.899999999994</v>
      </c>
      <c r="K95" s="3">
        <f t="shared" si="11"/>
        <v>0</v>
      </c>
      <c r="L95" s="158">
        <f t="shared" si="23"/>
        <v>0</v>
      </c>
      <c r="M95" s="158" t="str">
        <f t="shared" si="22"/>
        <v/>
      </c>
      <c r="N95" s="426"/>
    </row>
    <row r="96" spans="1:14" ht="15" customHeight="1">
      <c r="A96" s="374">
        <f t="shared" si="20"/>
        <v>86</v>
      </c>
      <c r="B96" s="40"/>
      <c r="C96" s="56" t="s">
        <v>197</v>
      </c>
      <c r="D96" s="40"/>
      <c r="E96" s="2" t="s">
        <v>95</v>
      </c>
      <c r="F96" s="457">
        <f>SUMIF('FY24'!A:A, 'Annual Budget '!A96, 'FY24'!AJ:AJ)</f>
        <v>7319.0799999999981</v>
      </c>
      <c r="G96" s="462">
        <f>SUMIF(FBT!B:B, 'Annual Budget '!A96, FBT!I:I)</f>
        <v>35000</v>
      </c>
      <c r="H96" s="463">
        <f>SUMIF('FY24'!A:A, 'Annual Budget '!A96, 'FY24'!AK:AK)</f>
        <v>40412</v>
      </c>
      <c r="I96" s="462">
        <f>SUMIF(FBT!B:B, 'Annual Budget '!A96, FBT!J:J)</f>
        <v>88300</v>
      </c>
      <c r="J96" s="4">
        <f t="shared" si="10"/>
        <v>47731.08</v>
      </c>
      <c r="K96" s="4">
        <f t="shared" si="11"/>
        <v>123300</v>
      </c>
      <c r="L96" s="162">
        <f t="shared" si="23"/>
        <v>2.3986678039621255E-2</v>
      </c>
      <c r="M96" s="162">
        <f t="shared" si="22"/>
        <v>0.38711338199513384</v>
      </c>
      <c r="N96" s="426"/>
    </row>
    <row r="97" spans="1:14" ht="15" customHeight="1">
      <c r="A97" s="375">
        <f t="shared" si="20"/>
        <v>87</v>
      </c>
      <c r="B97" s="58"/>
      <c r="C97" s="58"/>
      <c r="D97" s="59" t="s">
        <v>76</v>
      </c>
      <c r="E97" s="5" t="s">
        <v>6</v>
      </c>
      <c r="F97" s="8">
        <f>SUM(F89:F96)</f>
        <v>981721.77</v>
      </c>
      <c r="G97" s="9">
        <f>SUM(G89:G96)</f>
        <v>1118254.0411999999</v>
      </c>
      <c r="H97" s="8">
        <f>SUM(H89:H96)</f>
        <v>1088934.29</v>
      </c>
      <c r="I97" s="9">
        <f>SUM(I89:I96)</f>
        <v>1268801</v>
      </c>
      <c r="J97" s="6">
        <f t="shared" si="10"/>
        <v>2070656.06</v>
      </c>
      <c r="K97" s="6">
        <f t="shared" si="11"/>
        <v>2387055.0411999999</v>
      </c>
      <c r="L97" s="129">
        <f t="shared" si="23"/>
        <v>0.46437567506990468</v>
      </c>
      <c r="M97" s="129">
        <f t="shared" si="22"/>
        <v>0.86745216354921484</v>
      </c>
      <c r="N97" s="430"/>
    </row>
    <row r="98" spans="1:14" ht="17.25" customHeight="1">
      <c r="A98" s="378">
        <f t="shared" si="20"/>
        <v>88</v>
      </c>
      <c r="B98" s="51" t="s">
        <v>77</v>
      </c>
      <c r="C98" s="60"/>
      <c r="D98" s="51"/>
      <c r="E98" s="22"/>
      <c r="F98" s="26"/>
      <c r="G98" s="24"/>
      <c r="H98" s="25"/>
      <c r="I98" s="24"/>
      <c r="J98" s="23"/>
      <c r="K98" s="23"/>
      <c r="L98" s="179"/>
      <c r="M98" s="179"/>
      <c r="N98" s="438"/>
    </row>
    <row r="99" spans="1:14" ht="17.25" customHeight="1">
      <c r="A99" s="374">
        <f t="shared" si="20"/>
        <v>89</v>
      </c>
      <c r="B99" s="55"/>
      <c r="C99" s="55" t="s">
        <v>32</v>
      </c>
      <c r="D99" s="55"/>
      <c r="E99" s="15">
        <v>210</v>
      </c>
      <c r="F99" s="457">
        <f>SUMIF('FY24'!A:A, 'Annual Budget '!A99, 'FY24'!AJ:AJ)</f>
        <v>151669.19999999998</v>
      </c>
      <c r="G99" s="462">
        <f>SUMIF(FBT!B:B, 'Annual Budget '!A99, FBT!I:I)</f>
        <v>149296.84375</v>
      </c>
      <c r="H99" s="463">
        <f>SUMIF('FY24'!A:A, 'Annual Budget '!A99, 'FY24'!AK:AK)</f>
        <v>23676</v>
      </c>
      <c r="I99" s="462">
        <f>SUMIF(FBT!B:B, 'Annual Budget '!A99, FBT!J:J)</f>
        <v>25000</v>
      </c>
      <c r="J99" s="14">
        <f t="shared" si="10"/>
        <v>175345.19999999998</v>
      </c>
      <c r="K99" s="14">
        <f t="shared" si="11"/>
        <v>174296.84375</v>
      </c>
      <c r="L99" s="146">
        <f t="shared" ref="L99:L106" si="24">K99/$K$156</f>
        <v>3.3907561024764166E-2</v>
      </c>
      <c r="M99" s="146">
        <f t="shared" ref="M99:M106" si="25">IFERROR(J99/K99,"")</f>
        <v>1.0060147747225054</v>
      </c>
      <c r="N99" s="425"/>
    </row>
    <row r="100" spans="1:14" ht="15" customHeight="1">
      <c r="A100" s="374">
        <f t="shared" si="20"/>
        <v>90</v>
      </c>
      <c r="B100" s="40"/>
      <c r="C100" s="40" t="s">
        <v>7</v>
      </c>
      <c r="D100" s="40"/>
      <c r="E100" s="2">
        <v>220</v>
      </c>
      <c r="F100" s="457">
        <f>SUMIF('FY24'!A:A, 'Annual Budget '!A100, 'FY24'!AJ:AJ)</f>
        <v>97655.57</v>
      </c>
      <c r="G100" s="462">
        <f>SUMIF(FBT!B:B, 'Annual Budget '!A100, FBT!I:I)</f>
        <v>112997.41255439998</v>
      </c>
      <c r="H100" s="463">
        <f>SUMIF('FY24'!A:A, 'Annual Budget '!A100, 'FY24'!AK:AK)</f>
        <v>25875</v>
      </c>
      <c r="I100" s="462">
        <f>SUMIF(FBT!B:B, 'Annual Budget '!A100, FBT!J:J)</f>
        <v>35000</v>
      </c>
      <c r="J100" s="3">
        <f t="shared" si="10"/>
        <v>123530.57</v>
      </c>
      <c r="K100" s="3">
        <f t="shared" si="11"/>
        <v>147997.41255439998</v>
      </c>
      <c r="L100" s="158">
        <f t="shared" si="24"/>
        <v>2.8791291854334086E-2</v>
      </c>
      <c r="M100" s="158">
        <f t="shared" si="25"/>
        <v>0.83468060601798288</v>
      </c>
      <c r="N100" s="426"/>
    </row>
    <row r="101" spans="1:14" ht="15" customHeight="1">
      <c r="A101" s="374">
        <f t="shared" si="20"/>
        <v>91</v>
      </c>
      <c r="B101" s="40"/>
      <c r="C101" s="40" t="s">
        <v>23</v>
      </c>
      <c r="D101" s="40"/>
      <c r="E101" s="2">
        <v>225</v>
      </c>
      <c r="F101" s="457">
        <f>SUMIF('FY24'!A:A, 'Annual Budget '!A101, 'FY24'!AJ:AJ)</f>
        <v>22821.530000000002</v>
      </c>
      <c r="G101" s="462">
        <f>SUMIF(FBT!B:B, 'Annual Budget '!A101, FBT!I:I)</f>
        <v>19612.298097399995</v>
      </c>
      <c r="H101" s="463">
        <f>SUMIF('FY24'!A:A, 'Annual Budget '!A101, 'FY24'!AK:AK)</f>
        <v>6144</v>
      </c>
      <c r="I101" s="462">
        <f>SUMIF(FBT!B:B, 'Annual Budget '!A101, FBT!J:J)</f>
        <v>15000</v>
      </c>
      <c r="J101" s="3">
        <f t="shared" si="10"/>
        <v>28965.530000000002</v>
      </c>
      <c r="K101" s="3">
        <f t="shared" si="11"/>
        <v>34612.298097399995</v>
      </c>
      <c r="L101" s="158">
        <f t="shared" si="24"/>
        <v>6.7334472885136167E-3</v>
      </c>
      <c r="M101" s="158">
        <f t="shared" si="25"/>
        <v>0.83685659699596293</v>
      </c>
      <c r="N101" s="426"/>
    </row>
    <row r="102" spans="1:14" ht="15" customHeight="1">
      <c r="A102" s="374">
        <f t="shared" si="20"/>
        <v>92</v>
      </c>
      <c r="B102" s="40"/>
      <c r="C102" s="40" t="s">
        <v>8</v>
      </c>
      <c r="D102" s="40"/>
      <c r="E102" s="2" t="s">
        <v>116</v>
      </c>
      <c r="F102" s="457">
        <f>SUMIF('FY24'!A:A, 'Annual Budget '!A102, 'FY24'!AJ:AJ)</f>
        <v>12845.79</v>
      </c>
      <c r="G102" s="462">
        <f>SUMIF(FBT!B:B, 'Annual Budget '!A102, FBT!I:I)</f>
        <v>27741.100824000001</v>
      </c>
      <c r="H102" s="463">
        <f>SUMIF('FY24'!A:A, 'Annual Budget '!A102, 'FY24'!AK:AK)</f>
        <v>7028</v>
      </c>
      <c r="I102" s="462">
        <f>SUMIF(FBT!B:B, 'Annual Budget '!A102, FBT!J:J)</f>
        <v>20000</v>
      </c>
      <c r="J102" s="3">
        <f t="shared" si="10"/>
        <v>19873.79</v>
      </c>
      <c r="K102" s="3">
        <f t="shared" si="11"/>
        <v>47741.100824000001</v>
      </c>
      <c r="L102" s="158">
        <f t="shared" si="24"/>
        <v>9.2875135013980939E-3</v>
      </c>
      <c r="M102" s="158">
        <f t="shared" si="25"/>
        <v>0.41628260884192303</v>
      </c>
      <c r="N102" s="426"/>
    </row>
    <row r="103" spans="1:14" ht="15" customHeight="1">
      <c r="A103" s="374">
        <f t="shared" si="20"/>
        <v>93</v>
      </c>
      <c r="B103" s="40"/>
      <c r="C103" s="40" t="s">
        <v>9</v>
      </c>
      <c r="D103" s="40"/>
      <c r="E103" s="2">
        <v>250</v>
      </c>
      <c r="F103" s="457">
        <f>SUMIF('FY24'!A:A, 'Annual Budget '!A103, 'FY24'!AJ:AJ)</f>
        <v>7602.670000000001</v>
      </c>
      <c r="G103" s="462">
        <f>SUMIF(FBT!B:B, 'Annual Budget '!A103, FBT!I:I)</f>
        <v>23870.550412000001</v>
      </c>
      <c r="H103" s="463">
        <f>SUMIF('FY24'!A:A, 'Annual Budget '!A103, 'FY24'!AK:AK)</f>
        <v>0</v>
      </c>
      <c r="I103" s="462">
        <f>SUMIF(FBT!B:B, 'Annual Budget '!A103, FBT!J:J)</f>
        <v>0</v>
      </c>
      <c r="J103" s="3">
        <f t="shared" si="10"/>
        <v>7602.670000000001</v>
      </c>
      <c r="K103" s="3">
        <f t="shared" si="11"/>
        <v>23870.550412000001</v>
      </c>
      <c r="L103" s="158">
        <f t="shared" si="24"/>
        <v>4.6437567506990469E-3</v>
      </c>
      <c r="M103" s="158">
        <f t="shared" si="25"/>
        <v>0.31849579790912785</v>
      </c>
      <c r="N103" s="426"/>
    </row>
    <row r="104" spans="1:14" ht="15" customHeight="1">
      <c r="A104" s="374">
        <f t="shared" si="20"/>
        <v>94</v>
      </c>
      <c r="B104" s="40"/>
      <c r="C104" s="56" t="s">
        <v>33</v>
      </c>
      <c r="D104" s="40"/>
      <c r="E104" s="2">
        <v>270</v>
      </c>
      <c r="F104" s="457">
        <f>SUMIF('FY24'!A:A, 'Annual Budget '!A104, 'FY24'!AJ:AJ)</f>
        <v>0</v>
      </c>
      <c r="G104" s="462">
        <f>SUMIF(FBT!B:B, 'Annual Budget '!A104, FBT!I:I)</f>
        <v>0</v>
      </c>
      <c r="H104" s="463">
        <f>SUMIF('FY24'!A:A, 'Annual Budget '!A104, 'FY24'!AK:AK)</f>
        <v>0</v>
      </c>
      <c r="I104" s="462">
        <f>SUMIF(FBT!B:B, 'Annual Budget '!A104, FBT!J:J)</f>
        <v>0</v>
      </c>
      <c r="J104" s="3">
        <f t="shared" si="10"/>
        <v>0</v>
      </c>
      <c r="K104" s="3">
        <f t="shared" si="11"/>
        <v>0</v>
      </c>
      <c r="L104" s="158">
        <f t="shared" si="24"/>
        <v>0</v>
      </c>
      <c r="M104" s="158" t="str">
        <f t="shared" si="25"/>
        <v/>
      </c>
      <c r="N104" s="426"/>
    </row>
    <row r="105" spans="1:14" ht="15" customHeight="1">
      <c r="A105" s="374">
        <f t="shared" si="20"/>
        <v>95</v>
      </c>
      <c r="B105" s="40"/>
      <c r="C105" s="56" t="s">
        <v>198</v>
      </c>
      <c r="D105" s="40"/>
      <c r="E105" s="2" t="s">
        <v>10</v>
      </c>
      <c r="F105" s="457">
        <f>SUMIF('FY24'!A:A, 'Annual Budget '!A105, 'FY24'!AJ:AJ)</f>
        <v>10372.75</v>
      </c>
      <c r="G105" s="462">
        <f>SUMIF(FBT!B:B, 'Annual Budget '!A105, FBT!I:I)</f>
        <v>53335.550411999997</v>
      </c>
      <c r="H105" s="463">
        <f>SUMIF('FY24'!A:A, 'Annual Budget '!A105, 'FY24'!AK:AK)</f>
        <v>0</v>
      </c>
      <c r="I105" s="462">
        <f>SUMIF(FBT!B:B, 'Annual Budget '!A105, FBT!J:J)</f>
        <v>0</v>
      </c>
      <c r="J105" s="4">
        <f t="shared" si="10"/>
        <v>10372.75</v>
      </c>
      <c r="K105" s="4">
        <f t="shared" si="11"/>
        <v>53335.550411999997</v>
      </c>
      <c r="L105" s="162">
        <f t="shared" si="24"/>
        <v>1.037585300728818E-2</v>
      </c>
      <c r="M105" s="162">
        <f t="shared" si="25"/>
        <v>0.19448097788199123</v>
      </c>
      <c r="N105" s="426"/>
    </row>
    <row r="106" spans="1:14" ht="15" customHeight="1">
      <c r="A106" s="375">
        <f t="shared" si="20"/>
        <v>96</v>
      </c>
      <c r="B106" s="58"/>
      <c r="C106" s="58"/>
      <c r="D106" s="59" t="s">
        <v>78</v>
      </c>
      <c r="E106" s="5" t="s">
        <v>11</v>
      </c>
      <c r="F106" s="8">
        <f>SUM(F99:F105)</f>
        <v>302967.50999999995</v>
      </c>
      <c r="G106" s="9">
        <f>SUM(G99:G105)</f>
        <v>386853.75604979997</v>
      </c>
      <c r="H106" s="8">
        <f>SUM(H99:H105)</f>
        <v>62723</v>
      </c>
      <c r="I106" s="9">
        <f>SUM(I99:I105)</f>
        <v>95000</v>
      </c>
      <c r="J106" s="6">
        <f t="shared" ref="J106:J156" si="26">H106+F106</f>
        <v>365690.50999999995</v>
      </c>
      <c r="K106" s="6">
        <f t="shared" ref="K106:K156" si="27">I106+G106</f>
        <v>481853.75604979997</v>
      </c>
      <c r="L106" s="129">
        <f t="shared" si="24"/>
        <v>9.373942342699719E-2</v>
      </c>
      <c r="M106" s="129">
        <f t="shared" si="25"/>
        <v>0.75892426988201278</v>
      </c>
      <c r="N106" s="430"/>
    </row>
    <row r="107" spans="1:14" ht="17.25" customHeight="1">
      <c r="A107" s="378">
        <f t="shared" si="20"/>
        <v>97</v>
      </c>
      <c r="B107" s="51" t="s">
        <v>80</v>
      </c>
      <c r="C107" s="60"/>
      <c r="D107" s="51"/>
      <c r="E107" s="22"/>
      <c r="F107" s="26"/>
      <c r="G107" s="24"/>
      <c r="H107" s="25"/>
      <c r="I107" s="24"/>
      <c r="J107" s="23"/>
      <c r="K107" s="23"/>
      <c r="L107" s="179"/>
      <c r="M107" s="179"/>
      <c r="N107" s="438"/>
    </row>
    <row r="108" spans="1:14" ht="17.25" customHeight="1">
      <c r="A108" s="374">
        <f t="shared" si="20"/>
        <v>98</v>
      </c>
      <c r="B108" s="55"/>
      <c r="C108" s="55" t="s">
        <v>12</v>
      </c>
      <c r="D108" s="55"/>
      <c r="E108" s="15">
        <v>332</v>
      </c>
      <c r="F108" s="457">
        <f>SUMIF('FY24'!A:A, 'Annual Budget '!A108, 'FY24'!AJ:AJ)</f>
        <v>2441.9</v>
      </c>
      <c r="G108" s="462">
        <f>SUMIF(FBT!B:B, 'Annual Budget '!A108, FBT!I:I)</f>
        <v>12500</v>
      </c>
      <c r="H108" s="463">
        <f>SUMIF('FY24'!A:A, 'Annual Budget '!A108, 'FY24'!AK:AK)</f>
        <v>0</v>
      </c>
      <c r="I108" s="462">
        <f>SUMIF(FBT!B:B, 'Annual Budget '!A108, FBT!J:J)</f>
        <v>0</v>
      </c>
      <c r="J108" s="14">
        <f t="shared" si="26"/>
        <v>2441.9</v>
      </c>
      <c r="K108" s="14">
        <f t="shared" si="27"/>
        <v>12500</v>
      </c>
      <c r="L108" s="146">
        <f t="shared" ref="L108:L112" si="28">K108/$K$156</f>
        <v>2.431739460626648E-3</v>
      </c>
      <c r="M108" s="146">
        <f t="shared" ref="M108:M112" si="29">IFERROR(J108/K108,"")</f>
        <v>0.195352</v>
      </c>
      <c r="N108" s="425"/>
    </row>
    <row r="109" spans="1:14" ht="15" customHeight="1">
      <c r="A109" s="374">
        <f t="shared" si="20"/>
        <v>99</v>
      </c>
      <c r="B109" s="40"/>
      <c r="C109" s="40" t="s">
        <v>13</v>
      </c>
      <c r="D109" s="40"/>
      <c r="E109" s="2">
        <v>333</v>
      </c>
      <c r="F109" s="457">
        <f>SUMIF('FY24'!A:A, 'Annual Budget '!A109, 'FY24'!AJ:AJ)</f>
        <v>18430</v>
      </c>
      <c r="G109" s="462">
        <f>SUMIF(FBT!B:B, 'Annual Budget '!A109, FBT!I:I)</f>
        <v>17677</v>
      </c>
      <c r="H109" s="463">
        <f>SUMIF('FY24'!A:A, 'Annual Budget '!A109, 'FY24'!AK:AK)</f>
        <v>0</v>
      </c>
      <c r="I109" s="462">
        <f>SUMIF(FBT!B:B, 'Annual Budget '!A109, FBT!J:J)</f>
        <v>0</v>
      </c>
      <c r="J109" s="3">
        <f t="shared" si="26"/>
        <v>18430</v>
      </c>
      <c r="K109" s="3">
        <f t="shared" si="27"/>
        <v>17677</v>
      </c>
      <c r="L109" s="158">
        <f t="shared" si="28"/>
        <v>3.4388686756397801E-3</v>
      </c>
      <c r="M109" s="158">
        <f t="shared" si="29"/>
        <v>1.0425977258584602</v>
      </c>
      <c r="N109" s="426"/>
    </row>
    <row r="110" spans="1:14" ht="15" customHeight="1">
      <c r="A110" s="374">
        <f t="shared" si="20"/>
        <v>100</v>
      </c>
      <c r="B110" s="40"/>
      <c r="C110" s="40" t="s">
        <v>35</v>
      </c>
      <c r="D110" s="40"/>
      <c r="E110" s="2" t="s">
        <v>96</v>
      </c>
      <c r="F110" s="457">
        <f>SUMIF('FY24'!A:A, 'Annual Budget '!A110, 'FY24'!AJ:AJ)</f>
        <v>0</v>
      </c>
      <c r="G110" s="462">
        <f>SUMIF(FBT!B:B, 'Annual Budget '!A110, FBT!I:I)</f>
        <v>0</v>
      </c>
      <c r="H110" s="463">
        <f>SUMIF('FY24'!A:A, 'Annual Budget '!A110, 'FY24'!AK:AK)</f>
        <v>0</v>
      </c>
      <c r="I110" s="462">
        <f>SUMIF(FBT!B:B, 'Annual Budget '!A110, FBT!J:J)</f>
        <v>0</v>
      </c>
      <c r="J110" s="3">
        <f t="shared" si="26"/>
        <v>0</v>
      </c>
      <c r="K110" s="3">
        <f t="shared" si="27"/>
        <v>0</v>
      </c>
      <c r="L110" s="158">
        <f t="shared" si="28"/>
        <v>0</v>
      </c>
      <c r="M110" s="158" t="str">
        <f t="shared" si="29"/>
        <v/>
      </c>
      <c r="N110" s="426"/>
    </row>
    <row r="111" spans="1:14" ht="15" customHeight="1">
      <c r="A111" s="374">
        <f t="shared" si="20"/>
        <v>101</v>
      </c>
      <c r="B111" s="40"/>
      <c r="C111" s="56" t="s">
        <v>199</v>
      </c>
      <c r="D111" s="40"/>
      <c r="E111" s="2" t="s">
        <v>96</v>
      </c>
      <c r="F111" s="457">
        <f>SUMIF('FY24'!A:A, 'Annual Budget '!A111, 'FY24'!AJ:AJ)</f>
        <v>300253.58999999997</v>
      </c>
      <c r="G111" s="462">
        <f>SUMIF(FBT!B:B, 'Annual Budget '!A111, FBT!I:I)</f>
        <v>549205</v>
      </c>
      <c r="H111" s="463">
        <f>SUMIF('FY24'!A:A, 'Annual Budget '!A111, 'FY24'!AK:AK)</f>
        <v>304370.18</v>
      </c>
      <c r="I111" s="462">
        <f>SUMIF(FBT!B:B, 'Annual Budget '!A111, FBT!J:J)</f>
        <v>200000</v>
      </c>
      <c r="J111" s="4">
        <f t="shared" si="26"/>
        <v>604623.77</v>
      </c>
      <c r="K111" s="4">
        <f t="shared" si="27"/>
        <v>749205</v>
      </c>
      <c r="L111" s="162">
        <f t="shared" si="28"/>
        <v>0.14574970900790302</v>
      </c>
      <c r="M111" s="162">
        <f t="shared" si="29"/>
        <v>0.80702046836313157</v>
      </c>
      <c r="N111" s="426"/>
    </row>
    <row r="112" spans="1:14" ht="15" customHeight="1">
      <c r="A112" s="375">
        <f t="shared" si="20"/>
        <v>102</v>
      </c>
      <c r="B112" s="58"/>
      <c r="C112" s="58"/>
      <c r="D112" s="59" t="s">
        <v>79</v>
      </c>
      <c r="E112" s="5" t="s">
        <v>14</v>
      </c>
      <c r="F112" s="8">
        <f>SUM(F108:F111)</f>
        <v>321125.49</v>
      </c>
      <c r="G112" s="9">
        <f>SUM(G108:G111)</f>
        <v>579382</v>
      </c>
      <c r="H112" s="8">
        <f>SUM(H108:H111)</f>
        <v>304370.18</v>
      </c>
      <c r="I112" s="9">
        <f>SUM(I108:I111)</f>
        <v>200000</v>
      </c>
      <c r="J112" s="6">
        <f t="shared" si="26"/>
        <v>625495.66999999993</v>
      </c>
      <c r="K112" s="6">
        <f t="shared" si="27"/>
        <v>779382</v>
      </c>
      <c r="L112" s="129">
        <f t="shared" si="28"/>
        <v>0.15162031714416943</v>
      </c>
      <c r="M112" s="129">
        <f t="shared" si="29"/>
        <v>0.80255339486926813</v>
      </c>
      <c r="N112" s="430"/>
    </row>
    <row r="113" spans="1:14" ht="17.25" customHeight="1">
      <c r="A113" s="378">
        <f t="shared" si="20"/>
        <v>103</v>
      </c>
      <c r="B113" s="51" t="s">
        <v>81</v>
      </c>
      <c r="C113" s="51"/>
      <c r="D113" s="51"/>
      <c r="E113" s="22"/>
      <c r="F113" s="26"/>
      <c r="G113" s="24"/>
      <c r="H113" s="25"/>
      <c r="I113" s="24"/>
      <c r="J113" s="23"/>
      <c r="K113" s="23"/>
      <c r="L113" s="179"/>
      <c r="M113" s="179"/>
      <c r="N113" s="438"/>
    </row>
    <row r="114" spans="1:14" ht="17.25" customHeight="1">
      <c r="A114" s="374">
        <f t="shared" si="20"/>
        <v>104</v>
      </c>
      <c r="B114" s="61"/>
      <c r="C114" s="55" t="s">
        <v>24</v>
      </c>
      <c r="D114" s="55"/>
      <c r="E114" s="15">
        <v>411</v>
      </c>
      <c r="F114" s="457">
        <f>SUMIF('FY24'!A:A, 'Annual Budget '!A114, 'FY24'!AJ:AJ)</f>
        <v>10539.79</v>
      </c>
      <c r="G114" s="462">
        <f>SUMIF(FBT!B:B, 'Annual Budget '!A114, FBT!I:I)</f>
        <v>24500</v>
      </c>
      <c r="H114" s="463">
        <f>SUMIF('FY24'!A:A, 'Annual Budget '!A114, 'FY24'!AK:AK)</f>
        <v>0</v>
      </c>
      <c r="I114" s="462">
        <f>SUMIF(FBT!B:B, 'Annual Budget '!A114, FBT!J:J)</f>
        <v>0</v>
      </c>
      <c r="J114" s="14">
        <f t="shared" si="26"/>
        <v>10539.79</v>
      </c>
      <c r="K114" s="14">
        <f t="shared" si="27"/>
        <v>24500</v>
      </c>
      <c r="L114" s="146">
        <f t="shared" ref="L114:L119" si="30">K114/$K$156</f>
        <v>4.7662093428282298E-3</v>
      </c>
      <c r="M114" s="146">
        <f t="shared" ref="M114:M119" si="31">IFERROR(J114/K114,"")</f>
        <v>0.43019551020408164</v>
      </c>
      <c r="N114" s="425"/>
    </row>
    <row r="115" spans="1:14" ht="15" customHeight="1">
      <c r="A115" s="374">
        <f t="shared" si="20"/>
        <v>105</v>
      </c>
      <c r="B115" s="62"/>
      <c r="C115" s="63" t="s">
        <v>114</v>
      </c>
      <c r="D115" s="40"/>
      <c r="E115" s="2">
        <v>441</v>
      </c>
      <c r="F115" s="457">
        <f>SUMIF('FY24'!A:A, 'Annual Budget '!A115, 'FY24'!AJ:AJ)</f>
        <v>15584.92</v>
      </c>
      <c r="G115" s="462">
        <f>SUMIF(FBT!B:B, 'Annual Budget '!A115, FBT!I:I)</f>
        <v>0</v>
      </c>
      <c r="H115" s="463">
        <f>SUMIF('FY24'!A:A, 'Annual Budget '!A115, 'FY24'!AK:AK)</f>
        <v>0</v>
      </c>
      <c r="I115" s="462">
        <f>SUMIF(FBT!B:B, 'Annual Budget '!A115, FBT!J:J)</f>
        <v>0</v>
      </c>
      <c r="J115" s="3">
        <f t="shared" si="26"/>
        <v>15584.92</v>
      </c>
      <c r="K115" s="3">
        <f t="shared" si="27"/>
        <v>0</v>
      </c>
      <c r="L115" s="158">
        <f t="shared" si="30"/>
        <v>0</v>
      </c>
      <c r="M115" s="158" t="str">
        <f t="shared" si="31"/>
        <v/>
      </c>
      <c r="N115" s="426"/>
    </row>
    <row r="116" spans="1:14" ht="15" customHeight="1">
      <c r="A116" s="374">
        <f t="shared" si="20"/>
        <v>106</v>
      </c>
      <c r="B116" s="62"/>
      <c r="C116" s="40" t="s">
        <v>97</v>
      </c>
      <c r="D116" s="40"/>
      <c r="E116" s="2">
        <v>442</v>
      </c>
      <c r="F116" s="457">
        <f>SUMIF('FY24'!A:A, 'Annual Budget '!A116, 'FY24'!AJ:AJ)</f>
        <v>18906.04</v>
      </c>
      <c r="G116" s="462">
        <f>SUMIF(FBT!B:B, 'Annual Budget '!A116, FBT!I:I)</f>
        <v>22070</v>
      </c>
      <c r="H116" s="463">
        <f>SUMIF('FY24'!A:A, 'Annual Budget '!A116, 'FY24'!AK:AK)</f>
        <v>0</v>
      </c>
      <c r="I116" s="462">
        <f>SUMIF(FBT!B:B, 'Annual Budget '!A116, FBT!J:J)</f>
        <v>0</v>
      </c>
      <c r="J116" s="3">
        <f t="shared" si="26"/>
        <v>18906.04</v>
      </c>
      <c r="K116" s="3">
        <f t="shared" si="27"/>
        <v>22070</v>
      </c>
      <c r="L116" s="158">
        <f t="shared" si="30"/>
        <v>4.2934791916824097E-3</v>
      </c>
      <c r="M116" s="158">
        <f t="shared" si="31"/>
        <v>0.8566397825101949</v>
      </c>
      <c r="N116" s="426"/>
    </row>
    <row r="117" spans="1:14" ht="15" customHeight="1">
      <c r="A117" s="374">
        <f t="shared" si="20"/>
        <v>107</v>
      </c>
      <c r="B117" s="62"/>
      <c r="C117" s="40" t="s">
        <v>36</v>
      </c>
      <c r="D117" s="40"/>
      <c r="E117" s="2">
        <v>430</v>
      </c>
      <c r="F117" s="457">
        <f>SUMIF('FY24'!A:A, 'Annual Budget '!A117, 'FY24'!AJ:AJ)</f>
        <v>89931.89</v>
      </c>
      <c r="G117" s="462">
        <f>SUMIF(FBT!B:B, 'Annual Budget '!A117, FBT!I:I)</f>
        <v>81000</v>
      </c>
      <c r="H117" s="463">
        <f>SUMIF('FY24'!A:A, 'Annual Budget '!A117, 'FY24'!AK:AK)</f>
        <v>506.71</v>
      </c>
      <c r="I117" s="462">
        <f>SUMIF(FBT!B:B, 'Annual Budget '!A117, FBT!J:J)</f>
        <v>0</v>
      </c>
      <c r="J117" s="3">
        <f t="shared" si="26"/>
        <v>90438.6</v>
      </c>
      <c r="K117" s="3">
        <f t="shared" si="27"/>
        <v>81000</v>
      </c>
      <c r="L117" s="158">
        <f t="shared" si="30"/>
        <v>1.5757671704860678E-2</v>
      </c>
      <c r="M117" s="158">
        <f t="shared" si="31"/>
        <v>1.1165259259259259</v>
      </c>
      <c r="N117" s="426"/>
    </row>
    <row r="118" spans="1:14" ht="15" customHeight="1">
      <c r="A118" s="374">
        <f t="shared" si="20"/>
        <v>108</v>
      </c>
      <c r="B118" s="40"/>
      <c r="C118" s="56" t="s">
        <v>200</v>
      </c>
      <c r="D118" s="40"/>
      <c r="E118" s="7" t="s">
        <v>98</v>
      </c>
      <c r="F118" s="457">
        <f>SUMIF('FY24'!A:A, 'Annual Budget '!A118, 'FY24'!AJ:AJ)</f>
        <v>39649.550000000003</v>
      </c>
      <c r="G118" s="462">
        <f>SUMIF(FBT!B:B, 'Annual Budget '!A118, FBT!I:I)</f>
        <v>78100</v>
      </c>
      <c r="H118" s="463">
        <f>SUMIF('FY24'!A:A, 'Annual Budget '!A118, 'FY24'!AK:AK)</f>
        <v>0</v>
      </c>
      <c r="I118" s="462">
        <f>SUMIF(FBT!B:B, 'Annual Budget '!A118, FBT!J:J)</f>
        <v>0</v>
      </c>
      <c r="J118" s="4">
        <f t="shared" si="26"/>
        <v>39649.550000000003</v>
      </c>
      <c r="K118" s="4">
        <f t="shared" si="27"/>
        <v>78100</v>
      </c>
      <c r="L118" s="162">
        <f t="shared" si="30"/>
        <v>1.5193508149995295E-2</v>
      </c>
      <c r="M118" s="162">
        <f t="shared" si="31"/>
        <v>0.50767669654289371</v>
      </c>
      <c r="N118" s="426"/>
    </row>
    <row r="119" spans="1:14" ht="15" customHeight="1" thickBot="1">
      <c r="A119" s="376">
        <f t="shared" si="20"/>
        <v>109</v>
      </c>
      <c r="B119" s="64"/>
      <c r="C119" s="64" t="s">
        <v>82</v>
      </c>
      <c r="D119" s="65"/>
      <c r="E119" s="32">
        <v>400</v>
      </c>
      <c r="F119" s="33">
        <f>SUM(F114:F118)</f>
        <v>174612.19</v>
      </c>
      <c r="G119" s="34">
        <f>SUM(G114:G118)</f>
        <v>205670</v>
      </c>
      <c r="H119" s="33">
        <f>SUM(H114:H118)</f>
        <v>506.71</v>
      </c>
      <c r="I119" s="34">
        <f>SUM(I114:I118)</f>
        <v>0</v>
      </c>
      <c r="J119" s="359">
        <f t="shared" si="26"/>
        <v>175118.9</v>
      </c>
      <c r="K119" s="359">
        <f t="shared" si="27"/>
        <v>205670</v>
      </c>
      <c r="L119" s="163">
        <f t="shared" si="30"/>
        <v>4.0010868389366613E-2</v>
      </c>
      <c r="M119" s="163">
        <f t="shared" si="31"/>
        <v>0.85145573005299746</v>
      </c>
      <c r="N119" s="441"/>
    </row>
    <row r="120" spans="1:14" ht="17.25" customHeight="1" thickTop="1">
      <c r="A120" s="379">
        <f t="shared" si="20"/>
        <v>110</v>
      </c>
      <c r="B120" s="66" t="s">
        <v>99</v>
      </c>
      <c r="C120" s="66"/>
      <c r="D120" s="66"/>
      <c r="E120" s="27"/>
      <c r="F120" s="28"/>
      <c r="G120" s="29"/>
      <c r="H120" s="30"/>
      <c r="I120" s="29"/>
      <c r="J120" s="31"/>
      <c r="K120" s="31"/>
      <c r="L120" s="180"/>
      <c r="M120" s="180"/>
      <c r="N120" s="440"/>
    </row>
    <row r="121" spans="1:14" ht="17.25" customHeight="1">
      <c r="A121" s="374">
        <f t="shared" si="20"/>
        <v>111</v>
      </c>
      <c r="B121" s="61"/>
      <c r="C121" s="54" t="s">
        <v>15</v>
      </c>
      <c r="D121" s="55"/>
      <c r="E121" s="15" t="s">
        <v>16</v>
      </c>
      <c r="F121" s="457">
        <f>SUMIF('FY24'!A:A, 'Annual Budget '!A121, 'FY24'!AJ:AJ)</f>
        <v>73078.770000000019</v>
      </c>
      <c r="G121" s="462">
        <f>SUMIF(FBT!B:B, 'Annual Budget '!A121, FBT!I:I)</f>
        <v>301360</v>
      </c>
      <c r="H121" s="463">
        <f>SUMIF('FY24'!A:A, 'Annual Budget '!A121, 'FY24'!AK:AK)</f>
        <v>199776.82</v>
      </c>
      <c r="I121" s="462">
        <f>SUMIF(FBT!B:B, 'Annual Budget '!A121, FBT!J:J)</f>
        <v>50000</v>
      </c>
      <c r="J121" s="14">
        <f t="shared" si="26"/>
        <v>272855.59000000003</v>
      </c>
      <c r="K121" s="14">
        <f t="shared" si="27"/>
        <v>351360</v>
      </c>
      <c r="L121" s="146">
        <f t="shared" ref="L121:L130" si="32">K121/$K$156</f>
        <v>6.8353278150862312E-2</v>
      </c>
      <c r="M121" s="146">
        <f t="shared" ref="M121:M130" si="33">IFERROR(J121/K121,"")</f>
        <v>0.77656987135701283</v>
      </c>
      <c r="N121" s="425"/>
    </row>
    <row r="122" spans="1:14" ht="15" customHeight="1">
      <c r="A122" s="374">
        <f t="shared" si="20"/>
        <v>112</v>
      </c>
      <c r="B122" s="61"/>
      <c r="C122" s="54" t="s">
        <v>146</v>
      </c>
      <c r="D122" s="55"/>
      <c r="E122" s="15">
        <v>522</v>
      </c>
      <c r="F122" s="457">
        <f>SUMIF('FY24'!A:A, 'Annual Budget '!A122, 'FY24'!AJ:AJ)</f>
        <v>23447.62</v>
      </c>
      <c r="G122" s="462">
        <f>SUMIF(FBT!B:B, 'Annual Budget '!A122, FBT!I:I)</f>
        <v>26650</v>
      </c>
      <c r="H122" s="463">
        <f>SUMIF('FY24'!A:A, 'Annual Budget '!A122, 'FY24'!AK:AK)</f>
        <v>0</v>
      </c>
      <c r="I122" s="462">
        <f>SUMIF(FBT!B:B, 'Annual Budget '!A122, FBT!J:J)</f>
        <v>0</v>
      </c>
      <c r="J122" s="14">
        <f t="shared" si="26"/>
        <v>23447.62</v>
      </c>
      <c r="K122" s="14">
        <f t="shared" si="27"/>
        <v>26650</v>
      </c>
      <c r="L122" s="146">
        <f t="shared" si="32"/>
        <v>5.1844685300560132E-3</v>
      </c>
      <c r="M122" s="146">
        <f t="shared" si="33"/>
        <v>0.87983564727954966</v>
      </c>
      <c r="N122" s="425"/>
    </row>
    <row r="123" spans="1:14" ht="15" customHeight="1">
      <c r="A123" s="374">
        <f t="shared" si="20"/>
        <v>113</v>
      </c>
      <c r="B123" s="61"/>
      <c r="C123" s="54" t="s">
        <v>147</v>
      </c>
      <c r="D123" s="55"/>
      <c r="E123" s="15">
        <v>521</v>
      </c>
      <c r="F123" s="457">
        <f>SUMIF('FY24'!A:A, 'Annual Budget '!A123, 'FY24'!AJ:AJ)</f>
        <v>34270.379999999997</v>
      </c>
      <c r="G123" s="462">
        <f>SUMIF(FBT!B:B, 'Annual Budget '!A123, FBT!I:I)</f>
        <v>51000</v>
      </c>
      <c r="H123" s="463">
        <f>SUMIF('FY24'!A:A, 'Annual Budget '!A123, 'FY24'!AK:AK)</f>
        <v>0</v>
      </c>
      <c r="I123" s="462">
        <f>SUMIF(FBT!B:B, 'Annual Budget '!A123, FBT!J:J)</f>
        <v>0</v>
      </c>
      <c r="J123" s="14">
        <f t="shared" si="26"/>
        <v>34270.379999999997</v>
      </c>
      <c r="K123" s="14">
        <f t="shared" si="27"/>
        <v>51000</v>
      </c>
      <c r="L123" s="146">
        <f t="shared" si="32"/>
        <v>9.9214969993567225E-3</v>
      </c>
      <c r="M123" s="146">
        <f t="shared" si="33"/>
        <v>0.67196823529411764</v>
      </c>
      <c r="N123" s="425"/>
    </row>
    <row r="124" spans="1:14" ht="15" customHeight="1">
      <c r="A124" s="374">
        <f t="shared" si="20"/>
        <v>114</v>
      </c>
      <c r="B124" s="61"/>
      <c r="C124" s="54" t="s">
        <v>148</v>
      </c>
      <c r="D124" s="55"/>
      <c r="E124" s="15">
        <v>523</v>
      </c>
      <c r="F124" s="457">
        <f>SUMIF('FY24'!A:A, 'Annual Budget '!A124, 'FY24'!AJ:AJ)</f>
        <v>0</v>
      </c>
      <c r="G124" s="462">
        <f>SUMIF(FBT!B:B, 'Annual Budget '!A124, FBT!I:I)</f>
        <v>0</v>
      </c>
      <c r="H124" s="463">
        <f>SUMIF('FY24'!A:A, 'Annual Budget '!A124, 'FY24'!AK:AK)</f>
        <v>0</v>
      </c>
      <c r="I124" s="462">
        <f>SUMIF(FBT!B:B, 'Annual Budget '!A124, FBT!J:J)</f>
        <v>0</v>
      </c>
      <c r="J124" s="14">
        <f t="shared" si="26"/>
        <v>0</v>
      </c>
      <c r="K124" s="14">
        <f t="shared" si="27"/>
        <v>0</v>
      </c>
      <c r="L124" s="146">
        <f t="shared" si="32"/>
        <v>0</v>
      </c>
      <c r="M124" s="146" t="str">
        <f t="shared" si="33"/>
        <v/>
      </c>
      <c r="N124" s="425"/>
    </row>
    <row r="125" spans="1:14" ht="15" customHeight="1">
      <c r="A125" s="374">
        <f t="shared" si="20"/>
        <v>115</v>
      </c>
      <c r="B125" s="61"/>
      <c r="C125" s="54" t="s">
        <v>149</v>
      </c>
      <c r="D125" s="55"/>
      <c r="E125" s="15">
        <v>524</v>
      </c>
      <c r="F125" s="457">
        <f>SUMIF('FY24'!A:A, 'Annual Budget '!A125, 'FY24'!AJ:AJ)</f>
        <v>0</v>
      </c>
      <c r="G125" s="462">
        <f>SUMIF(FBT!B:B, 'Annual Budget '!A125, FBT!I:I)</f>
        <v>0</v>
      </c>
      <c r="H125" s="463">
        <f>SUMIF('FY24'!A:A, 'Annual Budget '!A125, 'FY24'!AK:AK)</f>
        <v>0</v>
      </c>
      <c r="I125" s="462">
        <f>SUMIF(FBT!B:B, 'Annual Budget '!A125, FBT!J:J)</f>
        <v>0</v>
      </c>
      <c r="J125" s="14">
        <f t="shared" si="26"/>
        <v>0</v>
      </c>
      <c r="K125" s="14">
        <f t="shared" si="27"/>
        <v>0</v>
      </c>
      <c r="L125" s="146">
        <f t="shared" si="32"/>
        <v>0</v>
      </c>
      <c r="M125" s="146" t="str">
        <f t="shared" si="33"/>
        <v/>
      </c>
      <c r="N125" s="425"/>
    </row>
    <row r="126" spans="1:14" ht="15" customHeight="1">
      <c r="A126" s="374">
        <f t="shared" si="20"/>
        <v>116</v>
      </c>
      <c r="B126" s="62"/>
      <c r="C126" s="72" t="s">
        <v>150</v>
      </c>
      <c r="D126" s="40"/>
      <c r="E126" s="2">
        <v>525</v>
      </c>
      <c r="F126" s="457">
        <f>SUMIF('FY24'!A:A, 'Annual Budget '!A126, 'FY24'!AJ:AJ)</f>
        <v>0</v>
      </c>
      <c r="G126" s="462">
        <f>SUMIF(FBT!B:B, 'Annual Budget '!A126, FBT!I:I)</f>
        <v>0</v>
      </c>
      <c r="H126" s="463">
        <f>SUMIF('FY24'!A:A, 'Annual Budget '!A126, 'FY24'!AK:AK)</f>
        <v>0</v>
      </c>
      <c r="I126" s="462">
        <f>SUMIF(FBT!B:B, 'Annual Budget '!A126, FBT!J:J)</f>
        <v>0</v>
      </c>
      <c r="J126" s="3">
        <f t="shared" si="26"/>
        <v>0</v>
      </c>
      <c r="K126" s="3">
        <f t="shared" si="27"/>
        <v>0</v>
      </c>
      <c r="L126" s="158">
        <f t="shared" si="32"/>
        <v>0</v>
      </c>
      <c r="M126" s="158" t="str">
        <f t="shared" si="33"/>
        <v/>
      </c>
      <c r="N126" s="426"/>
    </row>
    <row r="127" spans="1:14" ht="17.25" customHeight="1">
      <c r="A127" s="374">
        <f t="shared" si="20"/>
        <v>117</v>
      </c>
      <c r="B127" s="40"/>
      <c r="C127" s="56" t="s">
        <v>115</v>
      </c>
      <c r="D127" s="40"/>
      <c r="E127" s="7" t="s">
        <v>100</v>
      </c>
      <c r="F127" s="457">
        <f>SUMIF('FY24'!A:A, 'Annual Budget '!A127, 'FY24'!AJ:AJ)</f>
        <v>0</v>
      </c>
      <c r="G127" s="462">
        <f>SUMIF(FBT!B:B, 'Annual Budget '!A127, FBT!I:I)</f>
        <v>267500</v>
      </c>
      <c r="H127" s="463">
        <f>SUMIF('FY24'!A:A, 'Annual Budget '!A127, 'FY24'!AK:AK)</f>
        <v>151211.03</v>
      </c>
      <c r="I127" s="462">
        <f>SUMIF(FBT!B:B, 'Annual Budget '!A127, FBT!J:J)</f>
        <v>0</v>
      </c>
      <c r="J127" s="3">
        <f t="shared" si="26"/>
        <v>151211.03</v>
      </c>
      <c r="K127" s="3">
        <f t="shared" si="27"/>
        <v>267500</v>
      </c>
      <c r="L127" s="158">
        <f t="shared" si="32"/>
        <v>5.2039224457410264E-2</v>
      </c>
      <c r="M127" s="158">
        <f t="shared" si="33"/>
        <v>0.56527487850467284</v>
      </c>
      <c r="N127" s="426"/>
    </row>
    <row r="128" spans="1:14" ht="17.25" customHeight="1">
      <c r="A128" s="374">
        <f t="shared" si="20"/>
        <v>118</v>
      </c>
      <c r="B128" s="40"/>
      <c r="C128" s="40" t="s">
        <v>17</v>
      </c>
      <c r="D128" s="40"/>
      <c r="E128" s="2" t="s">
        <v>131</v>
      </c>
      <c r="F128" s="457">
        <f>SUMIF('FY24'!A:A, 'Annual Budget '!A128, 'FY24'!AJ:AJ)</f>
        <v>1343</v>
      </c>
      <c r="G128" s="462">
        <f>SUMIF(FBT!B:B, 'Annual Budget '!A128, FBT!I:I)</f>
        <v>20000</v>
      </c>
      <c r="H128" s="463">
        <f>SUMIF('FY24'!A:A, 'Annual Budget '!A128, 'FY24'!AK:AK)</f>
        <v>0</v>
      </c>
      <c r="I128" s="462">
        <f>SUMIF(FBT!B:B, 'Annual Budget '!A128, FBT!J:J)</f>
        <v>0</v>
      </c>
      <c r="J128" s="3">
        <f t="shared" si="26"/>
        <v>1343</v>
      </c>
      <c r="K128" s="3">
        <f t="shared" si="27"/>
        <v>20000</v>
      </c>
      <c r="L128" s="158">
        <f t="shared" si="32"/>
        <v>3.8907831370026363E-3</v>
      </c>
      <c r="M128" s="158">
        <f t="shared" si="33"/>
        <v>6.7150000000000001E-2</v>
      </c>
      <c r="N128" s="426"/>
    </row>
    <row r="129" spans="1:14" ht="15" customHeight="1">
      <c r="A129" s="374">
        <f t="shared" si="20"/>
        <v>119</v>
      </c>
      <c r="B129" s="40"/>
      <c r="C129" s="56" t="s">
        <v>201</v>
      </c>
      <c r="D129" s="40"/>
      <c r="E129" s="2" t="s">
        <v>121</v>
      </c>
      <c r="F129" s="457">
        <f>SUMIF('FY24'!A:A, 'Annual Budget '!A129, 'FY24'!AJ:AJ)</f>
        <v>73712.490000000005</v>
      </c>
      <c r="G129" s="462">
        <f>SUMIF(FBT!B:B, 'Annual Budget '!A129, FBT!I:I)</f>
        <v>52632.518717202795</v>
      </c>
      <c r="H129" s="463">
        <f>SUMIF('FY24'!A:A, 'Annual Budget '!A129, 'FY24'!AK:AK)</f>
        <v>0</v>
      </c>
      <c r="I129" s="462">
        <f>SUMIF(FBT!B:B, 'Annual Budget '!A129, FBT!J:J)</f>
        <v>50000</v>
      </c>
      <c r="J129" s="4">
        <f t="shared" si="26"/>
        <v>73712.490000000005</v>
      </c>
      <c r="K129" s="4">
        <f t="shared" si="27"/>
        <v>102632.51871720279</v>
      </c>
      <c r="L129" s="162">
        <f t="shared" si="32"/>
        <v>1.9966043656650004E-2</v>
      </c>
      <c r="M129" s="162">
        <f t="shared" si="33"/>
        <v>0.71821768501180372</v>
      </c>
      <c r="N129" s="426"/>
    </row>
    <row r="130" spans="1:14" ht="15" customHeight="1">
      <c r="A130" s="375">
        <f t="shared" si="20"/>
        <v>120</v>
      </c>
      <c r="B130" s="58"/>
      <c r="C130" s="58" t="s">
        <v>104</v>
      </c>
      <c r="D130" s="67"/>
      <c r="E130" s="5">
        <v>500</v>
      </c>
      <c r="F130" s="8">
        <f>SUM(F121:F129)</f>
        <v>205852.26</v>
      </c>
      <c r="G130" s="9">
        <f>SUM(G121:G129)</f>
        <v>719142.51871720282</v>
      </c>
      <c r="H130" s="8">
        <f>SUM(H121:H129)</f>
        <v>350987.85</v>
      </c>
      <c r="I130" s="9">
        <f>SUM(I121:I129)</f>
        <v>100000</v>
      </c>
      <c r="J130" s="6">
        <f t="shared" si="26"/>
        <v>556840.11</v>
      </c>
      <c r="K130" s="6">
        <f t="shared" si="27"/>
        <v>819142.51871720282</v>
      </c>
      <c r="L130" s="129">
        <f t="shared" si="32"/>
        <v>0.15935529493133796</v>
      </c>
      <c r="M130" s="129">
        <f t="shared" si="33"/>
        <v>0.67978416121290497</v>
      </c>
      <c r="N130" s="430"/>
    </row>
    <row r="131" spans="1:14" ht="15" customHeight="1">
      <c r="A131" s="378">
        <f t="shared" si="20"/>
        <v>121</v>
      </c>
      <c r="B131" s="51" t="s">
        <v>83</v>
      </c>
      <c r="C131" s="51"/>
      <c r="D131" s="51"/>
      <c r="E131" s="22"/>
      <c r="F131" s="26"/>
      <c r="G131" s="24"/>
      <c r="H131" s="25"/>
      <c r="I131" s="24"/>
      <c r="J131" s="23"/>
      <c r="K131" s="23"/>
      <c r="L131" s="179"/>
      <c r="M131" s="179"/>
      <c r="N131" s="438"/>
    </row>
    <row r="132" spans="1:14" ht="15" customHeight="1">
      <c r="A132" s="374">
        <f t="shared" si="20"/>
        <v>122</v>
      </c>
      <c r="B132" s="61"/>
      <c r="C132" s="68" t="s">
        <v>39</v>
      </c>
      <c r="D132" s="55"/>
      <c r="E132" s="15">
        <v>610</v>
      </c>
      <c r="F132" s="457">
        <f>SUMIF('FY24'!A:A, 'Annual Budget '!A132, 'FY24'!AJ:AJ)</f>
        <v>86869.810000000012</v>
      </c>
      <c r="G132" s="462">
        <f>SUMIF(FBT!B:B, 'Annual Budget '!A132, FBT!I:I)</f>
        <v>138750</v>
      </c>
      <c r="H132" s="463">
        <f>SUMIF('FY24'!A:A, 'Annual Budget '!A132, 'FY24'!AK:AK)</f>
        <v>5000</v>
      </c>
      <c r="I132" s="462">
        <f>SUMIF(FBT!B:B, 'Annual Budget '!A132, FBT!J:J)</f>
        <v>50000</v>
      </c>
      <c r="J132" s="14">
        <f t="shared" si="26"/>
        <v>91869.810000000012</v>
      </c>
      <c r="K132" s="14">
        <f t="shared" si="27"/>
        <v>188750</v>
      </c>
      <c r="L132" s="146">
        <f t="shared" ref="L132:L137" si="34">K132/$K$156</f>
        <v>3.6719265855462382E-2</v>
      </c>
      <c r="M132" s="146">
        <f t="shared" ref="M132:M137" si="35">IFERROR(J132/K132,"")</f>
        <v>0.48672747019867557</v>
      </c>
      <c r="N132" s="425"/>
    </row>
    <row r="133" spans="1:14" ht="15" customHeight="1">
      <c r="A133" s="374">
        <f t="shared" si="20"/>
        <v>123</v>
      </c>
      <c r="B133" s="62"/>
      <c r="C133" s="63" t="s">
        <v>71</v>
      </c>
      <c r="D133" s="40"/>
      <c r="E133" s="2" t="s">
        <v>18</v>
      </c>
      <c r="F133" s="457">
        <f>SUMIF('FY24'!A:A, 'Annual Budget '!A133, 'FY24'!AJ:AJ)</f>
        <v>46878.66</v>
      </c>
      <c r="G133" s="462">
        <f>SUMIF(FBT!B:B, 'Annual Budget '!A133, FBT!I:I)</f>
        <v>112500</v>
      </c>
      <c r="H133" s="463">
        <f>SUMIF('FY24'!A:A, 'Annual Budget '!A133, 'FY24'!AK:AK)</f>
        <v>25000</v>
      </c>
      <c r="I133" s="462">
        <f>SUMIF(FBT!B:B, 'Annual Budget '!A133, FBT!J:J)</f>
        <v>0</v>
      </c>
      <c r="J133" s="3">
        <f t="shared" si="26"/>
        <v>71878.66</v>
      </c>
      <c r="K133" s="3">
        <f t="shared" si="27"/>
        <v>112500</v>
      </c>
      <c r="L133" s="158">
        <f t="shared" si="34"/>
        <v>2.188565514563983E-2</v>
      </c>
      <c r="M133" s="158">
        <f t="shared" si="35"/>
        <v>0.63892142222222226</v>
      </c>
      <c r="N133" s="426"/>
    </row>
    <row r="134" spans="1:14" ht="17.25" customHeight="1">
      <c r="A134" s="374">
        <f t="shared" si="20"/>
        <v>124</v>
      </c>
      <c r="B134" s="62"/>
      <c r="C134" s="63" t="s">
        <v>37</v>
      </c>
      <c r="D134" s="40"/>
      <c r="E134" s="2" t="s">
        <v>101</v>
      </c>
      <c r="F134" s="457">
        <f>SUMIF('FY24'!A:A, 'Annual Budget '!A134, 'FY24'!AJ:AJ)</f>
        <v>0</v>
      </c>
      <c r="G134" s="462">
        <f>SUMIF(FBT!B:B, 'Annual Budget '!A134, FBT!I:I)</f>
        <v>0</v>
      </c>
      <c r="H134" s="463">
        <f>SUMIF('FY24'!A:A, 'Annual Budget '!A134, 'FY24'!AK:AK)</f>
        <v>0</v>
      </c>
      <c r="I134" s="462">
        <f>SUMIF(FBT!B:B, 'Annual Budget '!A134, FBT!J:J)</f>
        <v>0</v>
      </c>
      <c r="J134" s="3">
        <f t="shared" si="26"/>
        <v>0</v>
      </c>
      <c r="K134" s="3">
        <f t="shared" si="27"/>
        <v>0</v>
      </c>
      <c r="L134" s="158">
        <f t="shared" si="34"/>
        <v>0</v>
      </c>
      <c r="M134" s="158" t="str">
        <f t="shared" si="35"/>
        <v/>
      </c>
      <c r="N134" s="426"/>
    </row>
    <row r="135" spans="1:14" ht="17.25" customHeight="1">
      <c r="A135" s="374">
        <f t="shared" si="20"/>
        <v>125</v>
      </c>
      <c r="B135" s="62"/>
      <c r="C135" s="40" t="s">
        <v>72</v>
      </c>
      <c r="D135" s="40"/>
      <c r="E135" s="2" t="s">
        <v>132</v>
      </c>
      <c r="F135" s="457">
        <f>SUMIF('FY24'!A:A, 'Annual Budget '!A135, 'FY24'!AJ:AJ)</f>
        <v>7465.78</v>
      </c>
      <c r="G135" s="462">
        <f>SUMIF(FBT!B:B, 'Annual Budget '!A135, FBT!I:I)</f>
        <v>37500</v>
      </c>
      <c r="H135" s="463">
        <f>SUMIF('FY24'!A:A, 'Annual Budget '!A135, 'FY24'!AK:AK)</f>
        <v>0</v>
      </c>
      <c r="I135" s="462">
        <f>SUMIF(FBT!B:B, 'Annual Budget '!A135, FBT!J:J)</f>
        <v>0</v>
      </c>
      <c r="J135" s="3">
        <f t="shared" si="26"/>
        <v>7465.78</v>
      </c>
      <c r="K135" s="3">
        <f t="shared" si="27"/>
        <v>37500</v>
      </c>
      <c r="L135" s="158">
        <f t="shared" si="34"/>
        <v>7.2952183818799435E-3</v>
      </c>
      <c r="M135" s="158">
        <f t="shared" si="35"/>
        <v>0.19908746666666666</v>
      </c>
      <c r="N135" s="426"/>
    </row>
    <row r="136" spans="1:14" ht="15" customHeight="1">
      <c r="A136" s="374">
        <f t="shared" si="20"/>
        <v>126</v>
      </c>
      <c r="B136" s="62"/>
      <c r="C136" s="56" t="s">
        <v>202</v>
      </c>
      <c r="D136" s="40"/>
      <c r="E136" s="2" t="s">
        <v>38</v>
      </c>
      <c r="F136" s="457">
        <f>SUMIF('FY24'!A:A, 'Annual Budget '!A136, 'FY24'!AJ:AJ)</f>
        <v>16218.37</v>
      </c>
      <c r="G136" s="462">
        <f>SUMIF(FBT!B:B, 'Annual Budget '!A136, FBT!I:I)</f>
        <v>57500</v>
      </c>
      <c r="H136" s="463">
        <f>SUMIF('FY24'!A:A, 'Annual Budget '!A136, 'FY24'!AK:AK)</f>
        <v>0</v>
      </c>
      <c r="I136" s="462">
        <f>SUMIF(FBT!B:B, 'Annual Budget '!A136, FBT!J:J)</f>
        <v>0</v>
      </c>
      <c r="J136" s="4">
        <f t="shared" si="26"/>
        <v>16218.37</v>
      </c>
      <c r="K136" s="4">
        <f t="shared" si="27"/>
        <v>57500</v>
      </c>
      <c r="L136" s="162">
        <f t="shared" si="34"/>
        <v>1.118600151888258E-2</v>
      </c>
      <c r="M136" s="162">
        <f t="shared" si="35"/>
        <v>0.28205860869565219</v>
      </c>
      <c r="N136" s="426"/>
    </row>
    <row r="137" spans="1:14" ht="15" customHeight="1">
      <c r="A137" s="375">
        <f t="shared" si="20"/>
        <v>127</v>
      </c>
      <c r="B137" s="58"/>
      <c r="C137" s="58" t="s">
        <v>84</v>
      </c>
      <c r="D137" s="67"/>
      <c r="E137" s="5">
        <v>600</v>
      </c>
      <c r="F137" s="8">
        <f>SUM(F132:F136)</f>
        <v>157432.62000000002</v>
      </c>
      <c r="G137" s="9">
        <f>SUM(G132:G136)</f>
        <v>346250</v>
      </c>
      <c r="H137" s="8">
        <f>SUM(H132:H136)</f>
        <v>30000</v>
      </c>
      <c r="I137" s="9">
        <f>SUM(I132:I136)</f>
        <v>50000</v>
      </c>
      <c r="J137" s="6">
        <f t="shared" si="26"/>
        <v>187432.62000000002</v>
      </c>
      <c r="K137" s="6">
        <f t="shared" si="27"/>
        <v>396250</v>
      </c>
      <c r="L137" s="129">
        <f t="shared" si="34"/>
        <v>7.7086140901864733E-2</v>
      </c>
      <c r="M137" s="129">
        <f t="shared" si="35"/>
        <v>0.47301607570977922</v>
      </c>
      <c r="N137" s="430"/>
    </row>
    <row r="138" spans="1:14" ht="15" customHeight="1">
      <c r="A138" s="378">
        <f t="shared" si="20"/>
        <v>128</v>
      </c>
      <c r="B138" s="51" t="s">
        <v>85</v>
      </c>
      <c r="C138" s="51"/>
      <c r="D138" s="51"/>
      <c r="E138" s="22"/>
      <c r="F138" s="26"/>
      <c r="G138" s="24"/>
      <c r="H138" s="25"/>
      <c r="I138" s="24"/>
      <c r="J138" s="23"/>
      <c r="K138" s="23"/>
      <c r="L138" s="179"/>
      <c r="M138" s="179"/>
      <c r="N138" s="438"/>
    </row>
    <row r="139" spans="1:14" ht="15" customHeight="1">
      <c r="A139" s="374">
        <f t="shared" si="20"/>
        <v>129</v>
      </c>
      <c r="B139" s="61"/>
      <c r="C139" s="54" t="s">
        <v>122</v>
      </c>
      <c r="D139" s="55"/>
      <c r="E139" s="15">
        <v>710</v>
      </c>
      <c r="F139" s="457">
        <f>SUMIF('FY24'!A:A, 'Annual Budget '!A139, 'FY24'!AJ:AJ)</f>
        <v>0</v>
      </c>
      <c r="G139" s="462">
        <f>SUMIF(FBT!B:B, 'Annual Budget '!A139, FBT!I:I)</f>
        <v>0</v>
      </c>
      <c r="H139" s="463">
        <f>SUMIF('FY24'!A:A, 'Annual Budget '!A139, 'FY24'!AK:AK)</f>
        <v>0</v>
      </c>
      <c r="I139" s="462">
        <f>SUMIF(FBT!B:B, 'Annual Budget '!A139, FBT!J:J)</f>
        <v>0</v>
      </c>
      <c r="J139" s="14">
        <f t="shared" si="26"/>
        <v>0</v>
      </c>
      <c r="K139" s="14">
        <f t="shared" si="27"/>
        <v>0</v>
      </c>
      <c r="L139" s="146">
        <f t="shared" ref="L139:L143" si="36">K139/$K$156</f>
        <v>0</v>
      </c>
      <c r="M139" s="146" t="str">
        <f t="shared" ref="M139:M143" si="37">IFERROR(J139/K139,"")</f>
        <v/>
      </c>
      <c r="N139" s="425"/>
    </row>
    <row r="140" spans="1:14" ht="17.25" customHeight="1">
      <c r="A140" s="374">
        <f t="shared" si="20"/>
        <v>130</v>
      </c>
      <c r="B140" s="62"/>
      <c r="C140" s="56" t="s">
        <v>73</v>
      </c>
      <c r="D140" s="40"/>
      <c r="E140" s="2">
        <v>720</v>
      </c>
      <c r="F140" s="457">
        <f>SUMIF('FY24'!A:A, 'Annual Budget '!A140, 'FY24'!AJ:AJ)</f>
        <v>0</v>
      </c>
      <c r="G140" s="462">
        <f>SUMIF(FBT!B:B, 'Annual Budget '!A140, FBT!I:I)</f>
        <v>0</v>
      </c>
      <c r="H140" s="463">
        <f>SUMIF('FY24'!A:A, 'Annual Budget '!A140, 'FY24'!AK:AK)</f>
        <v>0</v>
      </c>
      <c r="I140" s="462">
        <f>SUMIF(FBT!B:B, 'Annual Budget '!A140, FBT!J:J)</f>
        <v>0</v>
      </c>
      <c r="J140" s="3">
        <f t="shared" si="26"/>
        <v>0</v>
      </c>
      <c r="K140" s="3">
        <f t="shared" si="27"/>
        <v>0</v>
      </c>
      <c r="L140" s="158">
        <f t="shared" si="36"/>
        <v>0</v>
      </c>
      <c r="M140" s="158" t="str">
        <f t="shared" si="37"/>
        <v/>
      </c>
      <c r="N140" s="426"/>
    </row>
    <row r="141" spans="1:14" ht="17.25" customHeight="1">
      <c r="A141" s="374">
        <f t="shared" si="20"/>
        <v>131</v>
      </c>
      <c r="B141" s="62"/>
      <c r="C141" s="63" t="s">
        <v>19</v>
      </c>
      <c r="D141" s="40"/>
      <c r="E141" s="2" t="s">
        <v>123</v>
      </c>
      <c r="F141" s="457">
        <f>SUMIF('FY24'!A:A, 'Annual Budget '!A141, 'FY24'!AJ:AJ)</f>
        <v>0</v>
      </c>
      <c r="G141" s="462">
        <f>SUMIF(FBT!B:B, 'Annual Budget '!A141, FBT!I:I)</f>
        <v>0</v>
      </c>
      <c r="H141" s="463">
        <f>SUMIF('FY24'!A:A, 'Annual Budget '!A141, 'FY24'!AK:AK)</f>
        <v>0</v>
      </c>
      <c r="I141" s="462">
        <f>SUMIF(FBT!B:B, 'Annual Budget '!A141, FBT!J:J)</f>
        <v>0</v>
      </c>
      <c r="J141" s="3">
        <f t="shared" si="26"/>
        <v>0</v>
      </c>
      <c r="K141" s="3">
        <f t="shared" si="27"/>
        <v>0</v>
      </c>
      <c r="L141" s="158">
        <f t="shared" si="36"/>
        <v>0</v>
      </c>
      <c r="M141" s="158" t="str">
        <f t="shared" si="37"/>
        <v/>
      </c>
      <c r="N141" s="426"/>
    </row>
    <row r="142" spans="1:14" ht="14.25" customHeight="1">
      <c r="A142" s="374">
        <f t="shared" si="20"/>
        <v>132</v>
      </c>
      <c r="B142" s="40"/>
      <c r="C142" s="63" t="s">
        <v>208</v>
      </c>
      <c r="D142" s="40"/>
      <c r="E142" s="2" t="s">
        <v>124</v>
      </c>
      <c r="F142" s="457">
        <f>SUMIF('FY24'!A:A, 'Annual Budget '!A142, 'FY24'!AJ:AJ)</f>
        <v>0</v>
      </c>
      <c r="G142" s="462">
        <f>SUMIF(FBT!B:B, 'Annual Budget '!A142, FBT!I:I)</f>
        <v>0</v>
      </c>
      <c r="H142" s="463">
        <f>SUMIF('FY24'!A:A, 'Annual Budget '!A142, 'FY24'!AK:AK)</f>
        <v>0</v>
      </c>
      <c r="I142" s="462">
        <f>SUMIF(FBT!B:B, 'Annual Budget '!A142, FBT!J:J)</f>
        <v>0</v>
      </c>
      <c r="J142" s="4">
        <f t="shared" si="26"/>
        <v>0</v>
      </c>
      <c r="K142" s="4">
        <f t="shared" si="27"/>
        <v>0</v>
      </c>
      <c r="L142" s="162">
        <f t="shared" si="36"/>
        <v>0</v>
      </c>
      <c r="M142" s="162" t="str">
        <f t="shared" si="37"/>
        <v/>
      </c>
      <c r="N142" s="426"/>
    </row>
    <row r="143" spans="1:14" ht="15" customHeight="1">
      <c r="A143" s="375">
        <f t="shared" ref="A143:A156" si="38">A142+1</f>
        <v>133</v>
      </c>
      <c r="B143" s="58"/>
      <c r="C143" s="58" t="s">
        <v>86</v>
      </c>
      <c r="D143" s="67"/>
      <c r="E143" s="5">
        <v>700</v>
      </c>
      <c r="F143" s="8">
        <f>SUM(F139:F142)</f>
        <v>0</v>
      </c>
      <c r="G143" s="9">
        <f>SUM(G139:G142)</f>
        <v>0</v>
      </c>
      <c r="H143" s="8">
        <f>SUM(H139:H142)</f>
        <v>0</v>
      </c>
      <c r="I143" s="9">
        <f>SUM(I139:I142)</f>
        <v>0</v>
      </c>
      <c r="J143" s="6">
        <f t="shared" si="26"/>
        <v>0</v>
      </c>
      <c r="K143" s="6">
        <f t="shared" si="27"/>
        <v>0</v>
      </c>
      <c r="L143" s="129">
        <f t="shared" si="36"/>
        <v>0</v>
      </c>
      <c r="M143" s="129" t="str">
        <f t="shared" si="37"/>
        <v/>
      </c>
      <c r="N143" s="430"/>
    </row>
    <row r="144" spans="1:14" ht="15" customHeight="1">
      <c r="A144" s="378">
        <f t="shared" si="38"/>
        <v>134</v>
      </c>
      <c r="B144" s="51" t="s">
        <v>87</v>
      </c>
      <c r="C144" s="51"/>
      <c r="D144" s="51"/>
      <c r="E144" s="22"/>
      <c r="F144" s="26"/>
      <c r="G144" s="24"/>
      <c r="H144" s="25"/>
      <c r="I144" s="24"/>
      <c r="J144" s="23"/>
      <c r="K144" s="23"/>
      <c r="L144" s="179"/>
      <c r="M144" s="179"/>
      <c r="N144" s="438"/>
    </row>
    <row r="145" spans="1:14" ht="15" customHeight="1">
      <c r="A145" s="374">
        <f t="shared" si="38"/>
        <v>135</v>
      </c>
      <c r="B145" s="61"/>
      <c r="C145" s="68" t="s">
        <v>144</v>
      </c>
      <c r="D145" s="55"/>
      <c r="E145" s="15">
        <v>810</v>
      </c>
      <c r="F145" s="457">
        <f>SUMIF('FY24'!A:A, 'Annual Budget '!A145, 'FY24'!AJ:AJ)</f>
        <v>20616.48</v>
      </c>
      <c r="G145" s="462">
        <f>SUMIF(FBT!B:B, 'Annual Budget '!A145, FBT!I:I)</f>
        <v>71000</v>
      </c>
      <c r="H145" s="463">
        <f>SUMIF('FY24'!A:A, 'Annual Budget '!A145, 'FY24'!AK:AK)</f>
        <v>0</v>
      </c>
      <c r="I145" s="462">
        <f>SUMIF(FBT!B:B, 'Annual Budget '!A145, FBT!J:J)</f>
        <v>0</v>
      </c>
      <c r="J145" s="14">
        <f t="shared" si="26"/>
        <v>20616.48</v>
      </c>
      <c r="K145" s="14">
        <f t="shared" si="27"/>
        <v>71000</v>
      </c>
      <c r="L145" s="146">
        <f t="shared" ref="L145:L150" si="39">K145/$K$156</f>
        <v>1.3812280136359359E-2</v>
      </c>
      <c r="M145" s="146">
        <f t="shared" ref="M145:M150" si="40">IFERROR(J145/K145,"")</f>
        <v>0.29037295774647887</v>
      </c>
      <c r="N145" s="425"/>
    </row>
    <row r="146" spans="1:14" ht="15" customHeight="1">
      <c r="A146" s="374">
        <f t="shared" si="38"/>
        <v>136</v>
      </c>
      <c r="B146" s="61"/>
      <c r="C146" s="68" t="s">
        <v>145</v>
      </c>
      <c r="D146" s="55"/>
      <c r="E146" s="15">
        <v>810</v>
      </c>
      <c r="F146" s="457">
        <f>SUMIF('FY24'!A:A, 'Annual Budget '!A146, 'FY24'!AJ:AJ)</f>
        <v>0</v>
      </c>
      <c r="G146" s="462">
        <f>SUMIF(FBT!B:B, 'Annual Budget '!A146, FBT!I:I)</f>
        <v>0</v>
      </c>
      <c r="H146" s="463">
        <f>SUMIF('FY24'!A:A, 'Annual Budget '!A146, 'FY24'!AK:AK)</f>
        <v>0</v>
      </c>
      <c r="I146" s="462">
        <f>SUMIF(FBT!B:B, 'Annual Budget '!A146, FBT!J:J)</f>
        <v>0</v>
      </c>
      <c r="J146" s="14">
        <f t="shared" si="26"/>
        <v>0</v>
      </c>
      <c r="K146" s="14">
        <f t="shared" si="27"/>
        <v>0</v>
      </c>
      <c r="L146" s="146">
        <f t="shared" si="39"/>
        <v>0</v>
      </c>
      <c r="M146" s="146" t="str">
        <f t="shared" si="40"/>
        <v/>
      </c>
      <c r="N146" s="425"/>
    </row>
    <row r="147" spans="1:14" ht="17.25" customHeight="1">
      <c r="A147" s="374">
        <f t="shared" si="38"/>
        <v>137</v>
      </c>
      <c r="B147" s="61"/>
      <c r="C147" s="54" t="s">
        <v>25</v>
      </c>
      <c r="D147" s="55"/>
      <c r="E147" s="15">
        <v>830</v>
      </c>
      <c r="F147" s="457">
        <f>SUMIF('FY24'!A:A, 'Annual Budget '!A147, 'FY24'!AJ:AJ)</f>
        <v>0</v>
      </c>
      <c r="G147" s="462">
        <f>SUMIF(FBT!B:B, 'Annual Budget '!A147, FBT!I:I)</f>
        <v>0</v>
      </c>
      <c r="H147" s="463">
        <f>SUMIF('FY24'!A:A, 'Annual Budget '!A147, 'FY24'!AK:AK)</f>
        <v>0</v>
      </c>
      <c r="I147" s="462">
        <f>SUMIF(FBT!B:B, 'Annual Budget '!A147, FBT!J:J)</f>
        <v>0</v>
      </c>
      <c r="J147" s="14">
        <f t="shared" si="26"/>
        <v>0</v>
      </c>
      <c r="K147" s="14">
        <f t="shared" si="27"/>
        <v>0</v>
      </c>
      <c r="L147" s="146">
        <f t="shared" si="39"/>
        <v>0</v>
      </c>
      <c r="M147" s="146" t="str">
        <f t="shared" si="40"/>
        <v/>
      </c>
      <c r="N147" s="425"/>
    </row>
    <row r="148" spans="1:14" ht="17.25" customHeight="1">
      <c r="A148" s="374">
        <f t="shared" si="38"/>
        <v>138</v>
      </c>
      <c r="B148" s="61"/>
      <c r="C148" s="54" t="s">
        <v>127</v>
      </c>
      <c r="D148" s="55"/>
      <c r="E148" s="15">
        <v>831</v>
      </c>
      <c r="F148" s="457">
        <f>SUMIF('FY24'!A:A, 'Annual Budget '!A148, 'FY24'!AJ:AJ)</f>
        <v>0</v>
      </c>
      <c r="G148" s="462">
        <f>SUMIF(FBT!B:B, 'Annual Budget '!A148, FBT!I:I)</f>
        <v>0</v>
      </c>
      <c r="H148" s="463">
        <f>SUMIF('FY24'!A:A, 'Annual Budget '!A148, 'FY24'!AK:AK)</f>
        <v>0</v>
      </c>
      <c r="I148" s="462">
        <f>SUMIF(FBT!B:B, 'Annual Budget '!A148, FBT!J:J)</f>
        <v>0</v>
      </c>
      <c r="J148" s="14">
        <f t="shared" si="26"/>
        <v>0</v>
      </c>
      <c r="K148" s="14">
        <f t="shared" si="27"/>
        <v>0</v>
      </c>
      <c r="L148" s="146">
        <f t="shared" si="39"/>
        <v>0</v>
      </c>
      <c r="M148" s="146" t="str">
        <f t="shared" si="40"/>
        <v/>
      </c>
      <c r="N148" s="425"/>
    </row>
    <row r="149" spans="1:14" ht="15" customHeight="1">
      <c r="A149" s="374">
        <f t="shared" si="38"/>
        <v>139</v>
      </c>
      <c r="B149" s="62"/>
      <c r="C149" s="56" t="s">
        <v>204</v>
      </c>
      <c r="D149" s="40"/>
      <c r="E149" s="2" t="s">
        <v>125</v>
      </c>
      <c r="F149" s="457">
        <f>SUMIF('FY24'!A:A, 'Annual Budget '!A149, 'FY24'!AJ:AJ)</f>
        <v>3660.18</v>
      </c>
      <c r="G149" s="462">
        <f>SUMIF(FBT!B:B, 'Annual Budget '!A149, FBT!I:I)</f>
        <v>0</v>
      </c>
      <c r="H149" s="463">
        <f>SUMIF('FY24'!A:A, 'Annual Budget '!A149, 'FY24'!AK:AK)</f>
        <v>0</v>
      </c>
      <c r="I149" s="462">
        <f>SUMIF(FBT!B:B, 'Annual Budget '!A149, FBT!J:J)</f>
        <v>0</v>
      </c>
      <c r="J149" s="4">
        <f t="shared" si="26"/>
        <v>3660.18</v>
      </c>
      <c r="K149" s="4">
        <f t="shared" si="27"/>
        <v>0</v>
      </c>
      <c r="L149" s="162">
        <f t="shared" si="39"/>
        <v>0</v>
      </c>
      <c r="M149" s="162" t="str">
        <f t="shared" si="40"/>
        <v/>
      </c>
      <c r="N149" s="426"/>
    </row>
    <row r="150" spans="1:14" ht="15" customHeight="1">
      <c r="A150" s="380">
        <f t="shared" si="38"/>
        <v>140</v>
      </c>
      <c r="B150" s="58"/>
      <c r="C150" s="58" t="s">
        <v>88</v>
      </c>
      <c r="D150" s="67"/>
      <c r="E150" s="5">
        <v>800</v>
      </c>
      <c r="F150" s="8">
        <f>SUM(F145:F149)</f>
        <v>24276.66</v>
      </c>
      <c r="G150" s="9">
        <f>SUM(G145:G149)</f>
        <v>71000</v>
      </c>
      <c r="H150" s="8">
        <f>SUM(H145:H149)</f>
        <v>0</v>
      </c>
      <c r="I150" s="9">
        <f>SUM(I145:I149)</f>
        <v>0</v>
      </c>
      <c r="J150" s="6">
        <f t="shared" si="26"/>
        <v>24276.66</v>
      </c>
      <c r="K150" s="6">
        <f t="shared" si="27"/>
        <v>71000</v>
      </c>
      <c r="L150" s="129">
        <f t="shared" si="39"/>
        <v>1.3812280136359359E-2</v>
      </c>
      <c r="M150" s="129">
        <f t="shared" si="40"/>
        <v>0.34192478873239435</v>
      </c>
      <c r="N150" s="430"/>
    </row>
    <row r="151" spans="1:14" ht="15" customHeight="1">
      <c r="A151" s="381">
        <f t="shared" si="38"/>
        <v>141</v>
      </c>
      <c r="B151" s="51" t="s">
        <v>90</v>
      </c>
      <c r="C151" s="51"/>
      <c r="D151" s="51"/>
      <c r="E151" s="22"/>
      <c r="F151" s="26"/>
      <c r="G151" s="24"/>
      <c r="H151" s="25"/>
      <c r="I151" s="24"/>
      <c r="J151" s="23"/>
      <c r="K151" s="23"/>
      <c r="L151" s="179"/>
      <c r="M151" s="179"/>
      <c r="N151" s="438"/>
    </row>
    <row r="152" spans="1:14" ht="17.25" customHeight="1">
      <c r="A152" s="374">
        <f t="shared" si="38"/>
        <v>142</v>
      </c>
      <c r="B152" s="62"/>
      <c r="C152" s="40" t="s">
        <v>20</v>
      </c>
      <c r="D152" s="40"/>
      <c r="E152" s="2">
        <v>933</v>
      </c>
      <c r="F152" s="457">
        <f>SUMIF('FY24'!A:A, 'Annual Budget '!A152, 'FY24'!AJ:AJ)</f>
        <v>-146393</v>
      </c>
      <c r="G152" s="462">
        <f>SUMIF(FBT!B:B, 'Annual Budget '!A152, FBT!I:I)</f>
        <v>0</v>
      </c>
      <c r="H152" s="463">
        <f>SUMIF('FY24'!A:A, 'Annual Budget '!A152, 'FY24'!AK:AK)-0.49</f>
        <v>146392.51</v>
      </c>
      <c r="I152" s="462">
        <f>SUMIF(FBT!B:B, 'Annual Budget '!A152, FBT!J:J)</f>
        <v>0</v>
      </c>
      <c r="J152" s="3">
        <f t="shared" si="26"/>
        <v>-0.48999999999068677</v>
      </c>
      <c r="K152" s="3">
        <f t="shared" si="27"/>
        <v>0</v>
      </c>
      <c r="L152" s="158">
        <f t="shared" ref="L152:L156" si="41">K152/$K$156</f>
        <v>0</v>
      </c>
      <c r="M152" s="158" t="str">
        <f t="shared" ref="M152:M156" si="42">IFERROR(J152/K152,"")</f>
        <v/>
      </c>
      <c r="N152" s="426"/>
    </row>
    <row r="153" spans="1:14" ht="17.25" customHeight="1">
      <c r="A153" s="374">
        <f t="shared" si="38"/>
        <v>143</v>
      </c>
      <c r="B153" s="62"/>
      <c r="C153" s="40" t="s">
        <v>209</v>
      </c>
      <c r="D153" s="40"/>
      <c r="E153" s="2" t="s">
        <v>126</v>
      </c>
      <c r="F153" s="457">
        <f>SUMIF('FY24'!A:A, 'Annual Budget '!A153, 'FY24'!AJ:AJ)</f>
        <v>0</v>
      </c>
      <c r="G153" s="462">
        <f>SUMIF(FBT!B:B, 'Annual Budget '!A153, FBT!I:I)</f>
        <v>0</v>
      </c>
      <c r="H153" s="463">
        <f>SUMIF('FY24'!A:A, 'Annual Budget '!A153, 'FY24'!AK:AK)</f>
        <v>0</v>
      </c>
      <c r="I153" s="462">
        <f>SUMIF(FBT!B:B, 'Annual Budget '!A153, FBT!J:J)</f>
        <v>0</v>
      </c>
      <c r="J153" s="3">
        <f t="shared" si="26"/>
        <v>0</v>
      </c>
      <c r="K153" s="3">
        <f t="shared" si="27"/>
        <v>0</v>
      </c>
      <c r="L153" s="158">
        <f t="shared" si="41"/>
        <v>0</v>
      </c>
      <c r="M153" s="158" t="str">
        <f t="shared" si="42"/>
        <v/>
      </c>
      <c r="N153" s="426"/>
    </row>
    <row r="154" spans="1:14" ht="15" customHeight="1">
      <c r="A154" s="374">
        <f t="shared" si="38"/>
        <v>144</v>
      </c>
      <c r="B154" s="446"/>
      <c r="C154" s="447"/>
      <c r="D154" s="446"/>
      <c r="E154" s="448"/>
      <c r="F154" s="457">
        <f>SUMIF('FY24'!A:A, 'Annual Budget '!A154, 'FY24'!AJ:AJ)</f>
        <v>0</v>
      </c>
      <c r="G154" s="462">
        <f>SUMIF(FBT!B:B, 'Annual Budget '!A154, FBT!I:I)</f>
        <v>0</v>
      </c>
      <c r="H154" s="463">
        <f>SUMIF('FY24'!A:A, 'Annual Budget '!A154, 'FY24'!AK:AK)</f>
        <v>0</v>
      </c>
      <c r="I154" s="462">
        <f>SUMIF(FBT!B:B, 'Annual Budget '!A154, FBT!J:J)</f>
        <v>0</v>
      </c>
      <c r="J154" s="4">
        <f t="shared" si="26"/>
        <v>0</v>
      </c>
      <c r="K154" s="4">
        <f t="shared" si="27"/>
        <v>0</v>
      </c>
      <c r="L154" s="162">
        <f t="shared" si="41"/>
        <v>0</v>
      </c>
      <c r="M154" s="162" t="str">
        <f t="shared" si="42"/>
        <v/>
      </c>
      <c r="N154" s="426"/>
    </row>
    <row r="155" spans="1:14" ht="21" customHeight="1">
      <c r="A155" s="382">
        <f t="shared" si="38"/>
        <v>145</v>
      </c>
      <c r="B155" s="58"/>
      <c r="C155" s="58" t="s">
        <v>89</v>
      </c>
      <c r="D155" s="58"/>
      <c r="E155" s="5">
        <v>900</v>
      </c>
      <c r="F155" s="8">
        <f>SUM(F152:F154)</f>
        <v>-146393</v>
      </c>
      <c r="G155" s="9">
        <f>SUM(G152:G154)</f>
        <v>0</v>
      </c>
      <c r="H155" s="8">
        <f>SUM(H152:H154)</f>
        <v>146392.51</v>
      </c>
      <c r="I155" s="9">
        <f>SUM(I152:I154)</f>
        <v>0</v>
      </c>
      <c r="J155" s="6">
        <f t="shared" si="26"/>
        <v>-0.48999999999068677</v>
      </c>
      <c r="K155" s="6">
        <f t="shared" si="27"/>
        <v>0</v>
      </c>
      <c r="L155" s="129">
        <f t="shared" si="41"/>
        <v>0</v>
      </c>
      <c r="M155" s="129" t="str">
        <f t="shared" si="42"/>
        <v/>
      </c>
      <c r="N155" s="444"/>
    </row>
    <row r="156" spans="1:14" ht="18.75" customHeight="1" thickBot="1">
      <c r="A156" s="382">
        <f t="shared" si="38"/>
        <v>146</v>
      </c>
      <c r="B156" s="130"/>
      <c r="C156" s="130"/>
      <c r="D156" s="131" t="s">
        <v>21</v>
      </c>
      <c r="E156" s="37" t="s">
        <v>22</v>
      </c>
      <c r="F156" s="366">
        <f>F97+F106+F112+F119+F130+F137+F143+F150+F155</f>
        <v>2021595.5</v>
      </c>
      <c r="G156" s="16">
        <f>G97+G106+G112+G119+G130+G137+G143+G150+G155</f>
        <v>3426552.3159670024</v>
      </c>
      <c r="H156" s="366">
        <f t="shared" ref="H156:I156" si="43">H97+H106+H112+H119+H130+H137+H143+H150+H155</f>
        <v>1983914.5399999998</v>
      </c>
      <c r="I156" s="16">
        <f t="shared" si="43"/>
        <v>1713801</v>
      </c>
      <c r="J156" s="367">
        <f t="shared" si="26"/>
        <v>4005510.04</v>
      </c>
      <c r="K156" s="367">
        <f t="shared" si="27"/>
        <v>5140353.3159670029</v>
      </c>
      <c r="L156" s="368">
        <f t="shared" si="41"/>
        <v>1</v>
      </c>
      <c r="M156" s="368">
        <f t="shared" si="42"/>
        <v>0.77922854593633784</v>
      </c>
      <c r="N156" s="441"/>
    </row>
    <row r="157" spans="1:14" ht="18.75" customHeight="1" thickTop="1" thickBot="1">
      <c r="A157" s="70"/>
      <c r="B157" s="71"/>
      <c r="C157" s="71"/>
      <c r="D157" s="71"/>
      <c r="E157" s="72"/>
      <c r="F157" s="73"/>
      <c r="G157" s="1"/>
      <c r="H157" s="1"/>
      <c r="I157" s="1"/>
      <c r="J157" s="69"/>
      <c r="K157" s="69"/>
      <c r="L157" s="69"/>
      <c r="M157" s="69"/>
      <c r="N157" s="69"/>
    </row>
    <row r="158" spans="1:14" ht="18.75" customHeight="1" thickBot="1">
      <c r="A158" s="70"/>
      <c r="B158" s="69"/>
      <c r="C158" s="72"/>
      <c r="D158" s="74"/>
      <c r="E158" s="75" t="s">
        <v>105</v>
      </c>
      <c r="F158" s="104">
        <f>F85-F156</f>
        <v>315081.6799999997</v>
      </c>
      <c r="G158" s="76">
        <f>G85-G156</f>
        <v>324852.18059406849</v>
      </c>
      <c r="H158" s="76">
        <f>H85-H156</f>
        <v>14500.490000000224</v>
      </c>
      <c r="I158" s="105">
        <f>I85-I156</f>
        <v>-0.41663921298459172</v>
      </c>
      <c r="J158" s="106">
        <f t="shared" ref="J158:J160" si="44">F158+H158</f>
        <v>329582.16999999993</v>
      </c>
      <c r="K158" s="107">
        <f>G158+I158</f>
        <v>324851.7639548555</v>
      </c>
      <c r="L158" s="69"/>
      <c r="M158" s="69"/>
      <c r="N158" s="77" t="s">
        <v>158</v>
      </c>
    </row>
    <row r="159" spans="1:14" ht="18.75" customHeight="1" thickTop="1" thickBot="1">
      <c r="A159" s="70"/>
      <c r="B159" s="69"/>
      <c r="C159" s="72"/>
      <c r="D159" s="74"/>
      <c r="E159" s="75" t="s">
        <v>106</v>
      </c>
      <c r="F159" s="485">
        <v>1812733</v>
      </c>
      <c r="G159" s="35">
        <f>F160</f>
        <v>2127814.6799999997</v>
      </c>
      <c r="H159" s="445">
        <v>27612</v>
      </c>
      <c r="I159" s="36">
        <v>0</v>
      </c>
      <c r="J159" s="78">
        <f>F159+H159</f>
        <v>1840345</v>
      </c>
      <c r="K159" s="108">
        <f>J160</f>
        <v>2169927.17</v>
      </c>
      <c r="L159" s="69"/>
      <c r="M159" s="69"/>
      <c r="N159" s="79">
        <f>G160/G85</f>
        <v>0.65379962700434968</v>
      </c>
    </row>
    <row r="160" spans="1:14" ht="15" customHeight="1" thickTop="1">
      <c r="A160" s="70"/>
      <c r="B160" s="69"/>
      <c r="C160" s="72"/>
      <c r="D160" s="74"/>
      <c r="E160" s="75" t="s">
        <v>107</v>
      </c>
      <c r="F160" s="109">
        <f>SUM(F158:F159)</f>
        <v>2127814.6799999997</v>
      </c>
      <c r="G160" s="80">
        <f>SUM(G158:G159)</f>
        <v>2452666.8605940682</v>
      </c>
      <c r="H160" s="80">
        <f>SUM(H158:H159)</f>
        <v>42112.490000000224</v>
      </c>
      <c r="I160" s="110">
        <f>SUM(I158:I159)</f>
        <v>-0.41663921298459172</v>
      </c>
      <c r="J160" s="111">
        <f t="shared" si="44"/>
        <v>2169927.17</v>
      </c>
      <c r="K160" s="112">
        <f>G160+I160</f>
        <v>2452666.4439548552</v>
      </c>
      <c r="L160" s="69"/>
      <c r="M160" s="69"/>
      <c r="N160" s="69"/>
    </row>
    <row r="161" spans="1:14" ht="15" customHeight="1">
      <c r="A161" s="70"/>
      <c r="B161" s="69"/>
      <c r="C161" s="72"/>
      <c r="D161" s="74"/>
      <c r="E161" s="81"/>
      <c r="F161" s="82"/>
      <c r="G161" s="82"/>
      <c r="H161" s="113"/>
      <c r="I161" s="82"/>
      <c r="J161" s="69"/>
      <c r="K161" s="69"/>
      <c r="L161" s="69"/>
      <c r="M161" s="69"/>
      <c r="N161" s="69"/>
    </row>
    <row r="162" spans="1:14" ht="15" customHeight="1"/>
    <row r="163" spans="1:14" ht="15" customHeight="1"/>
    <row r="164" spans="1:14" ht="15" customHeight="1"/>
    <row r="165" spans="1:14" ht="15" customHeight="1"/>
    <row r="166" spans="1:14" ht="15" customHeight="1"/>
    <row r="167" spans="1:14" ht="15" customHeight="1"/>
    <row r="168" spans="1:14" ht="15" customHeight="1"/>
    <row r="169" spans="1:14" ht="15" customHeight="1"/>
    <row r="170" spans="1:14" ht="15" customHeight="1"/>
    <row r="171" spans="1:14" ht="15" customHeight="1"/>
    <row r="172" spans="1:14" ht="15" customHeight="1"/>
    <row r="173" spans="1:14" ht="15" customHeight="1"/>
    <row r="174" spans="1:14" ht="15" customHeight="1"/>
    <row r="175" spans="1:14" ht="15" customHeight="1"/>
    <row r="176" spans="1:14" ht="15" customHeight="1"/>
    <row r="177" customFormat="1" ht="15" customHeight="1"/>
    <row r="178" customFormat="1" ht="15" customHeight="1"/>
    <row r="179" customFormat="1" ht="15" customHeight="1"/>
    <row r="180" customFormat="1" ht="15" customHeight="1"/>
    <row r="181" customFormat="1" ht="15" customHeight="1"/>
    <row r="182" customFormat="1" ht="15" customHeight="1"/>
    <row r="183" customFormat="1" ht="15" customHeight="1"/>
    <row r="184" customFormat="1" ht="15" customHeight="1"/>
    <row r="185" customFormat="1" ht="15" customHeight="1"/>
    <row r="186" customFormat="1" ht="15" customHeight="1"/>
    <row r="187" customFormat="1" ht="15" customHeight="1"/>
    <row r="188" customFormat="1" ht="15" customHeight="1"/>
    <row r="189" customFormat="1" ht="15" customHeight="1"/>
  </sheetData>
  <mergeCells count="20">
    <mergeCell ref="A1:N1"/>
    <mergeCell ref="H5:I5"/>
    <mergeCell ref="A5:C5"/>
    <mergeCell ref="J6:K7"/>
    <mergeCell ref="N8:N10"/>
    <mergeCell ref="H6:I7"/>
    <mergeCell ref="M8:M10"/>
    <mergeCell ref="L8:L10"/>
    <mergeCell ref="H8:H10"/>
    <mergeCell ref="I8:I10"/>
    <mergeCell ref="J8:J10"/>
    <mergeCell ref="K8:K10"/>
    <mergeCell ref="B86:D86"/>
    <mergeCell ref="G8:G10"/>
    <mergeCell ref="E8:E10"/>
    <mergeCell ref="B6:D10"/>
    <mergeCell ref="F8:F10"/>
    <mergeCell ref="B11:D11"/>
    <mergeCell ref="F6:G7"/>
    <mergeCell ref="E6:E7"/>
  </mergeCells>
  <phoneticPr fontId="0" type="noConversion"/>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3" man="1"/>
    <brk id="85" max="13" man="1"/>
    <brk id="119" max="1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A31"/>
  <sheetViews>
    <sheetView workbookViewId="0">
      <selection activeCell="A15" sqref="A15"/>
    </sheetView>
  </sheetViews>
  <sheetFormatPr defaultColWidth="8.84375" defaultRowHeight="15.5"/>
  <cols>
    <col min="1" max="1" width="81.765625" customWidth="1"/>
  </cols>
  <sheetData>
    <row r="1" spans="1:1">
      <c r="A1" s="115" t="s">
        <v>177</v>
      </c>
    </row>
    <row r="3" spans="1:1">
      <c r="A3" s="115" t="s">
        <v>175</v>
      </c>
    </row>
    <row r="5" spans="1:1">
      <c r="A5" s="116" t="s">
        <v>178</v>
      </c>
    </row>
    <row r="6" spans="1:1">
      <c r="A6" s="116"/>
    </row>
    <row r="7" spans="1:1">
      <c r="A7" s="116" t="s">
        <v>179</v>
      </c>
    </row>
    <row r="8" spans="1:1">
      <c r="A8" s="116"/>
    </row>
    <row r="9" spans="1:1">
      <c r="A9" s="118" t="s">
        <v>180</v>
      </c>
    </row>
    <row r="10" spans="1:1">
      <c r="A10" s="116"/>
    </row>
    <row r="11" spans="1:1">
      <c r="A11" s="122" t="s">
        <v>213</v>
      </c>
    </row>
    <row r="12" spans="1:1">
      <c r="A12" s="123"/>
    </row>
    <row r="13" spans="1:1">
      <c r="A13" s="124" t="s">
        <v>214</v>
      </c>
    </row>
    <row r="14" spans="1:1">
      <c r="A14" s="123"/>
    </row>
    <row r="15" spans="1:1" ht="29">
      <c r="A15" s="125" t="s">
        <v>232</v>
      </c>
    </row>
    <row r="16" spans="1:1">
      <c r="A16" s="123"/>
    </row>
    <row r="17" spans="1:1" ht="29">
      <c r="A17" s="126" t="s">
        <v>187</v>
      </c>
    </row>
    <row r="18" spans="1:1">
      <c r="A18" s="123"/>
    </row>
    <row r="19" spans="1:1">
      <c r="A19" s="124" t="s">
        <v>188</v>
      </c>
    </row>
    <row r="20" spans="1:1">
      <c r="A20" s="123"/>
    </row>
    <row r="21" spans="1:1">
      <c r="A21" s="116" t="s">
        <v>172</v>
      </c>
    </row>
    <row r="22" spans="1:1">
      <c r="A22" s="127"/>
    </row>
    <row r="23" spans="1:1">
      <c r="A23" s="127"/>
    </row>
    <row r="24" spans="1:1" ht="116">
      <c r="A24" s="120" t="s">
        <v>186</v>
      </c>
    </row>
    <row r="25" spans="1:1">
      <c r="A25" s="127"/>
    </row>
    <row r="26" spans="1:1">
      <c r="A26" s="121"/>
    </row>
    <row r="27" spans="1:1">
      <c r="A27" s="127"/>
    </row>
    <row r="28" spans="1:1">
      <c r="A28" s="127"/>
    </row>
    <row r="29" spans="1:1">
      <c r="A29" s="127"/>
    </row>
    <row r="30" spans="1:1">
      <c r="A30" s="127"/>
    </row>
    <row r="31" spans="1:1">
      <c r="A31" s="127"/>
    </row>
  </sheetData>
  <pageMargins left="0.7" right="0.7" top="0.75" bottom="0.75" header="0.3" footer="0.3"/>
  <pageSetup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7"/>
  <dimension ref="A1:T161"/>
  <sheetViews>
    <sheetView defaultGridColor="0" colorId="22" zoomScale="90" zoomScaleNormal="90" zoomScaleSheetLayoutView="80" workbookViewId="0">
      <pane xSplit="4" ySplit="10" topLeftCell="E11" activePane="bottomRight" state="frozen"/>
      <selection activeCell="E11" sqref="E11"/>
      <selection pane="topRight" activeCell="E11" sqref="E11"/>
      <selection pane="bottomLeft" activeCell="E11" sqref="E11"/>
      <selection pane="bottomRight" activeCell="P4" sqref="P4"/>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862" t="s">
        <v>235</v>
      </c>
      <c r="K1" s="862"/>
      <c r="L1" s="862"/>
      <c r="M1" s="862"/>
      <c r="N1" s="346"/>
      <c r="O1" s="346"/>
      <c r="P1" s="346"/>
      <c r="Q1" s="346"/>
      <c r="R1" s="863" t="s">
        <v>129</v>
      </c>
      <c r="S1" s="863"/>
    </row>
    <row r="2" spans="1:20" ht="18" customHeight="1" thickBot="1">
      <c r="A2" s="134"/>
      <c r="B2" s="135"/>
      <c r="C2" s="135"/>
      <c r="D2" s="135"/>
      <c r="E2" s="135"/>
      <c r="F2" s="135"/>
      <c r="G2" s="135"/>
      <c r="H2" s="135"/>
      <c r="I2" s="83"/>
      <c r="J2" s="136" t="s">
        <v>162</v>
      </c>
      <c r="K2" s="137">
        <v>1</v>
      </c>
      <c r="L2" s="136" t="s">
        <v>163</v>
      </c>
      <c r="M2" s="138">
        <v>45199</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404"/>
    </row>
    <row r="4" spans="1:20" ht="18" customHeight="1" thickTop="1">
      <c r="A4" s="877" t="s">
        <v>0</v>
      </c>
      <c r="B4" s="846"/>
      <c r="C4" s="846"/>
      <c r="D4" s="878" t="str">
        <f>'Annual Budget '!D5</f>
        <v>Redesign Lanier</v>
      </c>
      <c r="E4" s="83"/>
      <c r="F4" s="83"/>
      <c r="G4" s="83"/>
      <c r="H4" s="83"/>
      <c r="I4" s="83"/>
      <c r="J4" s="181"/>
      <c r="K4" s="114"/>
      <c r="L4" s="114"/>
      <c r="M4" s="114"/>
      <c r="N4" s="49"/>
      <c r="O4" s="49"/>
      <c r="P4" s="49"/>
      <c r="Q4" s="83"/>
      <c r="R4" s="81" t="s">
        <v>166</v>
      </c>
      <c r="S4" s="349"/>
    </row>
    <row r="5" spans="1:20" ht="18" customHeight="1" thickBot="1">
      <c r="A5" s="846"/>
      <c r="B5" s="846"/>
      <c r="C5" s="846"/>
      <c r="D5" s="879"/>
      <c r="E5" s="83"/>
      <c r="F5" s="83"/>
      <c r="G5" s="83"/>
      <c r="H5" s="83"/>
      <c r="I5" s="83"/>
      <c r="J5" s="181"/>
      <c r="K5" s="114"/>
      <c r="L5" s="114"/>
      <c r="M5" s="114"/>
      <c r="N5" s="49"/>
      <c r="O5" s="49"/>
      <c r="P5" s="49"/>
      <c r="Q5" s="83"/>
      <c r="R5" s="347" t="s">
        <v>167</v>
      </c>
      <c r="S5" s="349"/>
    </row>
    <row r="6" spans="1:20" ht="36.75" customHeight="1" thickTop="1" thickBot="1">
      <c r="A6" s="182"/>
      <c r="B6" s="891" t="s">
        <v>1</v>
      </c>
      <c r="C6" s="891"/>
      <c r="D6" s="892"/>
      <c r="E6" s="896" t="s">
        <v>2</v>
      </c>
      <c r="F6" s="868" t="s">
        <v>26</v>
      </c>
      <c r="G6" s="868"/>
      <c r="H6" s="868"/>
      <c r="I6" s="868"/>
      <c r="J6" s="900" t="s">
        <v>194</v>
      </c>
      <c r="K6" s="901"/>
      <c r="L6" s="901"/>
      <c r="M6" s="901"/>
      <c r="N6" s="903" t="s">
        <v>159</v>
      </c>
      <c r="O6" s="903"/>
      <c r="P6" s="903"/>
      <c r="Q6" s="904"/>
      <c r="R6" s="83"/>
    </row>
    <row r="7" spans="1:20" ht="16.5" thickTop="1" thickBot="1">
      <c r="A7" s="183"/>
      <c r="B7" s="826"/>
      <c r="C7" s="826"/>
      <c r="D7" s="893"/>
      <c r="E7" s="896"/>
      <c r="F7" s="869"/>
      <c r="G7" s="869"/>
      <c r="H7" s="869"/>
      <c r="I7" s="869"/>
      <c r="J7" s="902"/>
      <c r="K7" s="902"/>
      <c r="L7" s="902"/>
      <c r="M7" s="902"/>
      <c r="N7" s="905"/>
      <c r="O7" s="905"/>
      <c r="P7" s="905"/>
      <c r="Q7" s="906"/>
      <c r="R7" s="83"/>
      <c r="S7" s="83"/>
      <c r="T7" s="83"/>
    </row>
    <row r="8" spans="1:20" ht="16.5" customHeight="1" thickTop="1" thickBot="1">
      <c r="A8" s="183"/>
      <c r="B8" s="826"/>
      <c r="C8" s="826"/>
      <c r="D8" s="893"/>
      <c r="E8" s="897" t="s">
        <v>93</v>
      </c>
      <c r="F8" s="885" t="s">
        <v>234</v>
      </c>
      <c r="G8" s="887" t="s">
        <v>212</v>
      </c>
      <c r="H8" s="889" t="s">
        <v>169</v>
      </c>
      <c r="I8" s="866" t="s">
        <v>193</v>
      </c>
      <c r="J8" s="885" t="s">
        <v>234</v>
      </c>
      <c r="K8" s="887" t="s">
        <v>212</v>
      </c>
      <c r="L8" s="889" t="s">
        <v>169</v>
      </c>
      <c r="M8" s="866" t="s">
        <v>193</v>
      </c>
      <c r="N8" s="885" t="s">
        <v>234</v>
      </c>
      <c r="O8" s="887" t="s">
        <v>212</v>
      </c>
      <c r="P8" s="907" t="s">
        <v>169</v>
      </c>
      <c r="Q8" s="870" t="s">
        <v>193</v>
      </c>
      <c r="R8" s="872" t="s">
        <v>70</v>
      </c>
      <c r="S8" s="875" t="s">
        <v>195</v>
      </c>
      <c r="T8" s="880" t="s">
        <v>103</v>
      </c>
    </row>
    <row r="9" spans="1:20" ht="15" customHeight="1" thickTop="1" thickBot="1">
      <c r="A9" s="183"/>
      <c r="B9" s="826"/>
      <c r="C9" s="826"/>
      <c r="D9" s="893"/>
      <c r="E9" s="898"/>
      <c r="F9" s="886"/>
      <c r="G9" s="888" t="s">
        <v>160</v>
      </c>
      <c r="H9" s="890" t="s">
        <v>161</v>
      </c>
      <c r="I9" s="867"/>
      <c r="J9" s="886"/>
      <c r="K9" s="888" t="s">
        <v>160</v>
      </c>
      <c r="L9" s="890" t="s">
        <v>161</v>
      </c>
      <c r="M9" s="867"/>
      <c r="N9" s="886"/>
      <c r="O9" s="888" t="s">
        <v>160</v>
      </c>
      <c r="P9" s="908" t="s">
        <v>161</v>
      </c>
      <c r="Q9" s="871"/>
      <c r="R9" s="873"/>
      <c r="S9" s="860"/>
      <c r="T9" s="881"/>
    </row>
    <row r="10" spans="1:20" ht="30" customHeight="1" thickTop="1" thickBot="1">
      <c r="A10" s="184"/>
      <c r="B10" s="894"/>
      <c r="C10" s="894"/>
      <c r="D10" s="895"/>
      <c r="E10" s="899"/>
      <c r="F10" s="886"/>
      <c r="G10" s="888"/>
      <c r="H10" s="890"/>
      <c r="I10" s="867"/>
      <c r="J10" s="886"/>
      <c r="K10" s="888"/>
      <c r="L10" s="890"/>
      <c r="M10" s="867"/>
      <c r="N10" s="886"/>
      <c r="O10" s="888"/>
      <c r="P10" s="908"/>
      <c r="Q10" s="871"/>
      <c r="R10" s="874"/>
      <c r="S10" s="876"/>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'Annual Budget '!G13</f>
        <v>0</v>
      </c>
      <c r="G13" s="392"/>
      <c r="H13" s="247">
        <f>SUM(F13:G13)</f>
        <v>0</v>
      </c>
      <c r="I13" s="393"/>
      <c r="J13" s="246">
        <f>'Annual Budget '!I13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'Annual Budget '!I14</f>
        <v>0</v>
      </c>
      <c r="K14" s="392"/>
      <c r="L14" s="247">
        <f t="shared" ref="L14"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'Annual Budget '!G15</f>
        <v>0</v>
      </c>
      <c r="G15" s="392"/>
      <c r="H15" s="247">
        <f t="shared" ref="H15:H21" si="8">SUM(F15:G15)</f>
        <v>0</v>
      </c>
      <c r="I15" s="393"/>
      <c r="J15" s="246">
        <f>'Annual Budget '!I15</f>
        <v>0</v>
      </c>
      <c r="K15" s="392"/>
      <c r="L15" s="247">
        <f t="shared" ref="L15:L21" si="9">SUM(J15:K15)</f>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'Annual Budget '!G16</f>
        <v>0</v>
      </c>
      <c r="G16" s="392"/>
      <c r="H16" s="247">
        <f t="shared" si="8"/>
        <v>0</v>
      </c>
      <c r="I16" s="393"/>
      <c r="J16" s="246">
        <f>'Annual Budget '!I16</f>
        <v>0</v>
      </c>
      <c r="K16" s="392"/>
      <c r="L16" s="247">
        <f t="shared" si="9"/>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'Annual Budget '!G17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0.35666548125726882</v>
      </c>
      <c r="S17" s="252">
        <f t="shared" si="7"/>
        <v>0</v>
      </c>
      <c r="T17" s="407"/>
    </row>
    <row r="18" spans="1:20">
      <c r="A18" s="243">
        <f t="shared" si="1"/>
        <v>8</v>
      </c>
      <c r="B18" s="244"/>
      <c r="C18" s="244" t="s">
        <v>117</v>
      </c>
      <c r="D18" s="231"/>
      <c r="E18" s="245" t="s">
        <v>102</v>
      </c>
      <c r="F18" s="246">
        <f>'Annual Budget '!G18</f>
        <v>0.37348432425915234</v>
      </c>
      <c r="G18" s="392"/>
      <c r="H18" s="247">
        <f t="shared" si="8"/>
        <v>0.37348432425915234</v>
      </c>
      <c r="I18" s="393"/>
      <c r="J18" s="246">
        <f>'Annual Budget '!I18</f>
        <v>5218</v>
      </c>
      <c r="K18" s="392"/>
      <c r="L18" s="247">
        <f t="shared" si="9"/>
        <v>5218</v>
      </c>
      <c r="M18" s="393"/>
      <c r="N18" s="249">
        <f t="shared" si="3"/>
        <v>5218.3734843242592</v>
      </c>
      <c r="O18" s="250">
        <f t="shared" si="4"/>
        <v>0</v>
      </c>
      <c r="P18" s="250">
        <f t="shared" si="5"/>
        <v>5218.3734843242592</v>
      </c>
      <c r="Q18" s="240">
        <f t="shared" si="6"/>
        <v>0</v>
      </c>
      <c r="R18" s="251">
        <f t="shared" si="0"/>
        <v>9.5483580359968334E-4</v>
      </c>
      <c r="S18" s="252">
        <f t="shared" si="7"/>
        <v>0</v>
      </c>
      <c r="T18" s="407"/>
    </row>
    <row r="19" spans="1:20">
      <c r="A19" s="243">
        <f t="shared" si="1"/>
        <v>9</v>
      </c>
      <c r="B19" s="396"/>
      <c r="C19" s="396" t="s">
        <v>181</v>
      </c>
      <c r="D19" s="394"/>
      <c r="E19" s="395"/>
      <c r="F19" s="246">
        <f>'Annual Budget '!G19</f>
        <v>0</v>
      </c>
      <c r="G19" s="392"/>
      <c r="H19" s="247">
        <f t="shared" si="8"/>
        <v>0</v>
      </c>
      <c r="I19" s="393"/>
      <c r="J19" s="246">
        <f>'Annual Budget '!I19</f>
        <v>0</v>
      </c>
      <c r="K19" s="392"/>
      <c r="L19" s="247">
        <f t="shared" si="9"/>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'Annual Budget '!G20</f>
        <v>0</v>
      </c>
      <c r="G20" s="392"/>
      <c r="H20" s="247">
        <f t="shared" si="8"/>
        <v>0</v>
      </c>
      <c r="I20" s="393"/>
      <c r="J20" s="246">
        <f>'Annual Budget '!I20</f>
        <v>0</v>
      </c>
      <c r="K20" s="392"/>
      <c r="L20" s="247">
        <f t="shared" si="9"/>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'Annual Budget '!G21</f>
        <v>0</v>
      </c>
      <c r="G21" s="392"/>
      <c r="H21" s="247">
        <f t="shared" si="8"/>
        <v>0</v>
      </c>
      <c r="I21" s="393"/>
      <c r="J21" s="246">
        <f>'Annual Budget '!I21</f>
        <v>0</v>
      </c>
      <c r="K21" s="392"/>
      <c r="L21" s="247">
        <f t="shared" si="9"/>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1949250.3734843242</v>
      </c>
      <c r="G22" s="261">
        <f t="shared" ref="G22:Q22" si="10">SUM(G13:G21)</f>
        <v>0</v>
      </c>
      <c r="H22" s="261">
        <f t="shared" si="10"/>
        <v>1949250.3734843242</v>
      </c>
      <c r="I22" s="262">
        <f t="shared" si="10"/>
        <v>0</v>
      </c>
      <c r="J22" s="260">
        <f t="shared" si="10"/>
        <v>5218</v>
      </c>
      <c r="K22" s="261">
        <f t="shared" si="10"/>
        <v>0</v>
      </c>
      <c r="L22" s="261">
        <f t="shared" si="10"/>
        <v>5218</v>
      </c>
      <c r="M22" s="262">
        <f t="shared" si="10"/>
        <v>0</v>
      </c>
      <c r="N22" s="260">
        <f t="shared" si="10"/>
        <v>1954468.3734843242</v>
      </c>
      <c r="O22" s="261">
        <f t="shared" si="10"/>
        <v>0</v>
      </c>
      <c r="P22" s="261">
        <f t="shared" si="10"/>
        <v>1954468.3734843242</v>
      </c>
      <c r="Q22" s="262">
        <f t="shared" si="10"/>
        <v>0</v>
      </c>
      <c r="R22" s="263">
        <f t="shared" si="0"/>
        <v>0.3576203170608685</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'Annual Budget '!G26</f>
        <v>1390554.1230767467</v>
      </c>
      <c r="G26" s="392"/>
      <c r="H26" s="247">
        <f t="shared" ref="H26:H38" si="11">SUM(F26:G26)</f>
        <v>1390554.1230767467</v>
      </c>
      <c r="I26" s="393"/>
      <c r="J26" s="253"/>
      <c r="K26" s="254"/>
      <c r="L26" s="254"/>
      <c r="M26" s="255"/>
      <c r="N26" s="246">
        <f>F26+J26</f>
        <v>1390554.1230767467</v>
      </c>
      <c r="O26" s="247">
        <f>K26+G26</f>
        <v>0</v>
      </c>
      <c r="P26" s="247">
        <f>SUM(N26:O26)</f>
        <v>1390554.1230767467</v>
      </c>
      <c r="Q26" s="240">
        <f>M26+I26</f>
        <v>0</v>
      </c>
      <c r="R26" s="251">
        <f>P26/$P$85</f>
        <v>0.25443768399202121</v>
      </c>
      <c r="S26" s="251">
        <f t="shared" ref="S26:S27" si="12">IFERROR(Q26/P26,"")</f>
        <v>0</v>
      </c>
      <c r="T26" s="407"/>
    </row>
    <row r="27" spans="1:20">
      <c r="A27" s="243">
        <f t="shared" si="1"/>
        <v>17</v>
      </c>
      <c r="B27" s="244"/>
      <c r="C27" s="244"/>
      <c r="D27" s="231" t="s">
        <v>47</v>
      </c>
      <c r="E27" s="245">
        <v>3190</v>
      </c>
      <c r="F27" s="246">
        <f>'Annual Budget '!G27</f>
        <v>0</v>
      </c>
      <c r="G27" s="392"/>
      <c r="H27" s="247">
        <f t="shared" si="11"/>
        <v>0</v>
      </c>
      <c r="I27" s="393"/>
      <c r="J27" s="246">
        <f>'Annual Budget '!I27</f>
        <v>0</v>
      </c>
      <c r="K27" s="392"/>
      <c r="L27" s="247">
        <f t="shared" ref="L27" si="13">SUM(J27:K27)</f>
        <v>0</v>
      </c>
      <c r="M27" s="393"/>
      <c r="N27" s="246">
        <f>F27+J27</f>
        <v>0</v>
      </c>
      <c r="O27" s="247">
        <f>K27+G27</f>
        <v>0</v>
      </c>
      <c r="P27" s="247">
        <f>SUM(N27:O27)</f>
        <v>0</v>
      </c>
      <c r="Q27" s="240">
        <f>M27+I27</f>
        <v>0</v>
      </c>
      <c r="R27" s="251">
        <f>P27/$P$85</f>
        <v>0</v>
      </c>
      <c r="S27" s="251" t="str">
        <f t="shared" si="12"/>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'Annual Budget '!G29</f>
        <v>0</v>
      </c>
      <c r="G29" s="392"/>
      <c r="H29" s="247">
        <f t="shared" si="11"/>
        <v>0</v>
      </c>
      <c r="I29" s="393"/>
      <c r="J29" s="246">
        <f>'Annual Budget '!I29</f>
        <v>0</v>
      </c>
      <c r="K29" s="392"/>
      <c r="L29" s="247">
        <f t="shared" ref="L29:L38" si="14">SUM(J29:K29)</f>
        <v>0</v>
      </c>
      <c r="M29" s="393"/>
      <c r="N29" s="246">
        <f t="shared" ref="N29:N38" si="15">F29+J29</f>
        <v>0</v>
      </c>
      <c r="O29" s="247">
        <f t="shared" ref="O29:O38" si="16">K29+G29</f>
        <v>0</v>
      </c>
      <c r="P29" s="247">
        <f t="shared" ref="P29:P38" si="17">SUM(N29:O29)</f>
        <v>0</v>
      </c>
      <c r="Q29" s="240">
        <f t="shared" ref="Q29:Q38" si="18">M29+I29</f>
        <v>0</v>
      </c>
      <c r="R29" s="251">
        <f t="shared" ref="R29:R39" si="19">P29/$P$85</f>
        <v>0</v>
      </c>
      <c r="S29" s="251" t="str">
        <f t="shared" ref="S29:S39" si="20">IFERROR(Q29/P29,"")</f>
        <v/>
      </c>
      <c r="T29" s="407"/>
    </row>
    <row r="30" spans="1:20">
      <c r="A30" s="243">
        <f t="shared" si="1"/>
        <v>20</v>
      </c>
      <c r="B30" s="244"/>
      <c r="C30" s="244"/>
      <c r="D30" s="231" t="s">
        <v>50</v>
      </c>
      <c r="E30" s="245">
        <v>3230</v>
      </c>
      <c r="F30" s="246">
        <f>'Annual Budget '!G30</f>
        <v>0</v>
      </c>
      <c r="G30" s="392"/>
      <c r="H30" s="247">
        <f t="shared" si="11"/>
        <v>0</v>
      </c>
      <c r="I30" s="393"/>
      <c r="J30" s="253"/>
      <c r="K30" s="254"/>
      <c r="L30" s="254"/>
      <c r="M30" s="255"/>
      <c r="N30" s="246">
        <f t="shared" si="15"/>
        <v>0</v>
      </c>
      <c r="O30" s="247">
        <f t="shared" si="16"/>
        <v>0</v>
      </c>
      <c r="P30" s="247">
        <f t="shared" si="17"/>
        <v>0</v>
      </c>
      <c r="Q30" s="240">
        <f t="shared" si="18"/>
        <v>0</v>
      </c>
      <c r="R30" s="251">
        <f t="shared" si="19"/>
        <v>0</v>
      </c>
      <c r="S30" s="251" t="str">
        <f t="shared" si="20"/>
        <v/>
      </c>
      <c r="T30" s="407"/>
    </row>
    <row r="31" spans="1:20">
      <c r="A31" s="243">
        <f t="shared" si="1"/>
        <v>21</v>
      </c>
      <c r="B31" s="244"/>
      <c r="C31" s="244"/>
      <c r="D31" s="231" t="s">
        <v>94</v>
      </c>
      <c r="E31" s="245">
        <v>3290</v>
      </c>
      <c r="F31" s="246">
        <f>'Annual Budget '!G31</f>
        <v>0</v>
      </c>
      <c r="G31" s="392"/>
      <c r="H31" s="247">
        <f t="shared" si="11"/>
        <v>0</v>
      </c>
      <c r="I31" s="393"/>
      <c r="J31" s="246">
        <f>'Annual Budget '!I31</f>
        <v>0</v>
      </c>
      <c r="K31" s="392"/>
      <c r="L31" s="247">
        <f t="shared" si="14"/>
        <v>0</v>
      </c>
      <c r="M31" s="393"/>
      <c r="N31" s="246">
        <f t="shared" si="15"/>
        <v>0</v>
      </c>
      <c r="O31" s="247">
        <f t="shared" si="16"/>
        <v>0</v>
      </c>
      <c r="P31" s="247">
        <f t="shared" si="17"/>
        <v>0</v>
      </c>
      <c r="Q31" s="240">
        <f t="shared" si="18"/>
        <v>0</v>
      </c>
      <c r="R31" s="251">
        <f t="shared" si="19"/>
        <v>0</v>
      </c>
      <c r="S31" s="251" t="str">
        <f t="shared" si="20"/>
        <v/>
      </c>
      <c r="T31" s="407"/>
    </row>
    <row r="32" spans="1:20">
      <c r="A32" s="243">
        <f t="shared" si="1"/>
        <v>22</v>
      </c>
      <c r="B32" s="244"/>
      <c r="C32" s="244"/>
      <c r="D32" s="231" t="s">
        <v>164</v>
      </c>
      <c r="E32" s="245">
        <v>3240</v>
      </c>
      <c r="F32" s="246">
        <f>'Annual Budget '!G32</f>
        <v>111600</v>
      </c>
      <c r="G32" s="392"/>
      <c r="H32" s="247">
        <f t="shared" si="11"/>
        <v>111600</v>
      </c>
      <c r="I32" s="393"/>
      <c r="J32" s="246">
        <f>'Annual Budget '!I32</f>
        <v>0</v>
      </c>
      <c r="K32" s="392"/>
      <c r="L32" s="247">
        <f t="shared" si="14"/>
        <v>0</v>
      </c>
      <c r="M32" s="393"/>
      <c r="N32" s="246">
        <f t="shared" si="15"/>
        <v>111600</v>
      </c>
      <c r="O32" s="247">
        <f t="shared" si="16"/>
        <v>0</v>
      </c>
      <c r="P32" s="247">
        <f t="shared" si="17"/>
        <v>111600</v>
      </c>
      <c r="Q32" s="240">
        <f t="shared" si="18"/>
        <v>0</v>
      </c>
      <c r="R32" s="251">
        <f t="shared" si="19"/>
        <v>2.0420093732620857E-2</v>
      </c>
      <c r="S32" s="251">
        <f t="shared" si="20"/>
        <v>0</v>
      </c>
      <c r="T32" s="407"/>
    </row>
    <row r="33" spans="1:20">
      <c r="A33" s="243">
        <f t="shared" si="1"/>
        <v>23</v>
      </c>
      <c r="B33" s="244"/>
      <c r="C33" s="244"/>
      <c r="D33" s="231" t="s">
        <v>133</v>
      </c>
      <c r="E33" s="245">
        <v>3290</v>
      </c>
      <c r="F33" s="246">
        <f>'Annual Budget '!G33</f>
        <v>0</v>
      </c>
      <c r="G33" s="392"/>
      <c r="H33" s="247">
        <f t="shared" si="11"/>
        <v>0</v>
      </c>
      <c r="I33" s="393"/>
      <c r="J33" s="246">
        <f>'Annual Budget '!I33</f>
        <v>0</v>
      </c>
      <c r="K33" s="392"/>
      <c r="L33" s="247">
        <f t="shared" si="14"/>
        <v>0</v>
      </c>
      <c r="M33" s="393"/>
      <c r="N33" s="246">
        <f t="shared" si="15"/>
        <v>0</v>
      </c>
      <c r="O33" s="247">
        <f t="shared" si="16"/>
        <v>0</v>
      </c>
      <c r="P33" s="247">
        <f t="shared" si="17"/>
        <v>0</v>
      </c>
      <c r="Q33" s="240">
        <f t="shared" si="18"/>
        <v>0</v>
      </c>
      <c r="R33" s="251">
        <f t="shared" si="19"/>
        <v>0</v>
      </c>
      <c r="S33" s="251" t="str">
        <f t="shared" si="20"/>
        <v/>
      </c>
      <c r="T33" s="407"/>
    </row>
    <row r="34" spans="1:20">
      <c r="A34" s="243">
        <f t="shared" si="1"/>
        <v>24</v>
      </c>
      <c r="B34" s="244"/>
      <c r="C34" s="244"/>
      <c r="D34" s="231" t="s">
        <v>137</v>
      </c>
      <c r="E34" s="245">
        <v>3290</v>
      </c>
      <c r="F34" s="246">
        <f>'Annual Budget '!G34</f>
        <v>0</v>
      </c>
      <c r="G34" s="392"/>
      <c r="H34" s="247">
        <f t="shared" si="11"/>
        <v>0</v>
      </c>
      <c r="I34" s="393"/>
      <c r="J34" s="246">
        <f>'Annual Budget '!I34</f>
        <v>0</v>
      </c>
      <c r="K34" s="392"/>
      <c r="L34" s="247">
        <f t="shared" si="14"/>
        <v>0</v>
      </c>
      <c r="M34" s="393"/>
      <c r="N34" s="246">
        <f t="shared" si="15"/>
        <v>0</v>
      </c>
      <c r="O34" s="247">
        <f t="shared" si="16"/>
        <v>0</v>
      </c>
      <c r="P34" s="247">
        <f t="shared" si="17"/>
        <v>0</v>
      </c>
      <c r="Q34" s="240">
        <f t="shared" si="18"/>
        <v>0</v>
      </c>
      <c r="R34" s="251">
        <f t="shared" si="19"/>
        <v>0</v>
      </c>
      <c r="S34" s="251" t="str">
        <f t="shared" si="20"/>
        <v/>
      </c>
      <c r="T34" s="407"/>
    </row>
    <row r="35" spans="1:20">
      <c r="A35" s="243">
        <f t="shared" si="1"/>
        <v>25</v>
      </c>
      <c r="B35" s="396"/>
      <c r="C35" s="396" t="s">
        <v>181</v>
      </c>
      <c r="D35" s="394"/>
      <c r="E35" s="395"/>
      <c r="F35" s="246">
        <f>'Annual Budget '!G35</f>
        <v>300000</v>
      </c>
      <c r="G35" s="392"/>
      <c r="H35" s="247">
        <f t="shared" si="11"/>
        <v>300000</v>
      </c>
      <c r="I35" s="393"/>
      <c r="J35" s="246">
        <f>'Annual Budget '!I35</f>
        <v>0</v>
      </c>
      <c r="K35" s="392"/>
      <c r="L35" s="247">
        <f t="shared" si="14"/>
        <v>0</v>
      </c>
      <c r="M35" s="393"/>
      <c r="N35" s="246">
        <f t="shared" si="15"/>
        <v>300000</v>
      </c>
      <c r="O35" s="247">
        <f t="shared" si="16"/>
        <v>0</v>
      </c>
      <c r="P35" s="247">
        <f t="shared" si="17"/>
        <v>300000</v>
      </c>
      <c r="Q35" s="240">
        <f t="shared" si="18"/>
        <v>0</v>
      </c>
      <c r="R35" s="251">
        <f t="shared" si="19"/>
        <v>5.4892725087690469E-2</v>
      </c>
      <c r="S35" s="251">
        <f t="shared" si="20"/>
        <v>0</v>
      </c>
      <c r="T35" s="407"/>
    </row>
    <row r="36" spans="1:20">
      <c r="A36" s="243">
        <f t="shared" si="1"/>
        <v>26</v>
      </c>
      <c r="B36" s="396"/>
      <c r="C36" s="396" t="s">
        <v>181</v>
      </c>
      <c r="D36" s="394"/>
      <c r="E36" s="395"/>
      <c r="F36" s="246">
        <f>'Annual Budget '!G36</f>
        <v>0</v>
      </c>
      <c r="G36" s="392"/>
      <c r="H36" s="247">
        <f t="shared" si="11"/>
        <v>0</v>
      </c>
      <c r="I36" s="393"/>
      <c r="J36" s="246">
        <f>'Annual Budget '!I36</f>
        <v>0</v>
      </c>
      <c r="K36" s="392"/>
      <c r="L36" s="247">
        <f t="shared" si="14"/>
        <v>0</v>
      </c>
      <c r="M36" s="393"/>
      <c r="N36" s="246">
        <f t="shared" si="15"/>
        <v>0</v>
      </c>
      <c r="O36" s="247">
        <f t="shared" si="16"/>
        <v>0</v>
      </c>
      <c r="P36" s="247">
        <f t="shared" si="17"/>
        <v>0</v>
      </c>
      <c r="Q36" s="240">
        <f t="shared" si="18"/>
        <v>0</v>
      </c>
      <c r="R36" s="251">
        <f t="shared" si="19"/>
        <v>0</v>
      </c>
      <c r="S36" s="251" t="str">
        <f t="shared" si="20"/>
        <v/>
      </c>
      <c r="T36" s="407"/>
    </row>
    <row r="37" spans="1:20">
      <c r="A37" s="243">
        <f t="shared" si="1"/>
        <v>27</v>
      </c>
      <c r="B37" s="396"/>
      <c r="C37" s="396" t="s">
        <v>181</v>
      </c>
      <c r="D37" s="394"/>
      <c r="E37" s="397"/>
      <c r="F37" s="246">
        <f>'Annual Budget '!G37</f>
        <v>0</v>
      </c>
      <c r="G37" s="392"/>
      <c r="H37" s="247">
        <f t="shared" si="11"/>
        <v>0</v>
      </c>
      <c r="I37" s="393"/>
      <c r="J37" s="246">
        <f>'Annual Budget '!I37</f>
        <v>0</v>
      </c>
      <c r="K37" s="392"/>
      <c r="L37" s="247">
        <f t="shared" si="14"/>
        <v>0</v>
      </c>
      <c r="M37" s="393"/>
      <c r="N37" s="246">
        <f t="shared" si="15"/>
        <v>0</v>
      </c>
      <c r="O37" s="247">
        <f t="shared" si="16"/>
        <v>0</v>
      </c>
      <c r="P37" s="247">
        <f t="shared" si="17"/>
        <v>0</v>
      </c>
      <c r="Q37" s="240">
        <f t="shared" si="18"/>
        <v>0</v>
      </c>
      <c r="R37" s="251">
        <f t="shared" si="19"/>
        <v>0</v>
      </c>
      <c r="S37" s="251" t="str">
        <f t="shared" si="20"/>
        <v/>
      </c>
      <c r="T37" s="407"/>
    </row>
    <row r="38" spans="1:20">
      <c r="A38" s="243">
        <f t="shared" si="1"/>
        <v>28</v>
      </c>
      <c r="B38" s="396"/>
      <c r="C38" s="396" t="s">
        <v>181</v>
      </c>
      <c r="D38" s="394"/>
      <c r="E38" s="397"/>
      <c r="F38" s="246">
        <f>'Annual Budget '!G38</f>
        <v>0</v>
      </c>
      <c r="G38" s="392"/>
      <c r="H38" s="247">
        <f t="shared" si="11"/>
        <v>0</v>
      </c>
      <c r="I38" s="393"/>
      <c r="J38" s="246">
        <f>'Annual Budget '!I38</f>
        <v>0</v>
      </c>
      <c r="K38" s="392"/>
      <c r="L38" s="247">
        <f t="shared" si="14"/>
        <v>0</v>
      </c>
      <c r="M38" s="393"/>
      <c r="N38" s="246">
        <f t="shared" si="15"/>
        <v>0</v>
      </c>
      <c r="O38" s="247">
        <f t="shared" si="16"/>
        <v>0</v>
      </c>
      <c r="P38" s="247">
        <f t="shared" si="17"/>
        <v>0</v>
      </c>
      <c r="Q38" s="240">
        <f t="shared" si="18"/>
        <v>0</v>
      </c>
      <c r="R38" s="251">
        <f t="shared" si="19"/>
        <v>0</v>
      </c>
      <c r="S38" s="251" t="str">
        <f t="shared" si="20"/>
        <v/>
      </c>
      <c r="T38" s="407"/>
    </row>
    <row r="39" spans="1:20" ht="18" customHeight="1">
      <c r="A39" s="256">
        <f t="shared" si="1"/>
        <v>29</v>
      </c>
      <c r="B39" s="257" t="s">
        <v>51</v>
      </c>
      <c r="C39" s="257"/>
      <c r="D39" s="258"/>
      <c r="E39" s="259"/>
      <c r="F39" s="260">
        <f t="shared" ref="F39:Q39" si="21">SUM(F26:F38)</f>
        <v>1802154.1230767467</v>
      </c>
      <c r="G39" s="261">
        <f t="shared" si="21"/>
        <v>0</v>
      </c>
      <c r="H39" s="261">
        <f t="shared" si="21"/>
        <v>1802154.1230767467</v>
      </c>
      <c r="I39" s="262">
        <f t="shared" si="21"/>
        <v>0</v>
      </c>
      <c r="J39" s="260">
        <f t="shared" si="21"/>
        <v>0</v>
      </c>
      <c r="K39" s="261">
        <f t="shared" si="21"/>
        <v>0</v>
      </c>
      <c r="L39" s="261">
        <f t="shared" si="21"/>
        <v>0</v>
      </c>
      <c r="M39" s="262">
        <f t="shared" si="21"/>
        <v>0</v>
      </c>
      <c r="N39" s="260">
        <f t="shared" si="21"/>
        <v>1802154.1230767467</v>
      </c>
      <c r="O39" s="261">
        <f t="shared" si="21"/>
        <v>0</v>
      </c>
      <c r="P39" s="261">
        <f t="shared" si="21"/>
        <v>1802154.1230767467</v>
      </c>
      <c r="Q39" s="262">
        <f t="shared" si="21"/>
        <v>0</v>
      </c>
      <c r="R39" s="263">
        <f t="shared" si="19"/>
        <v>0.32975050281233254</v>
      </c>
      <c r="S39" s="263">
        <f t="shared" si="20"/>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'Annual Budget '!G43</f>
        <v>0</v>
      </c>
      <c r="G43" s="392"/>
      <c r="H43" s="247">
        <f t="shared" ref="H43:H79" si="22">SUM(F43:G43)</f>
        <v>0</v>
      </c>
      <c r="I43" s="393"/>
      <c r="J43" s="253"/>
      <c r="K43" s="254"/>
      <c r="L43" s="254"/>
      <c r="M43" s="255"/>
      <c r="N43" s="246">
        <f t="shared" ref="N43:N44" si="23">F43+J43</f>
        <v>0</v>
      </c>
      <c r="O43" s="247">
        <f t="shared" ref="O43:O44" si="24">K43+G43</f>
        <v>0</v>
      </c>
      <c r="P43" s="247">
        <f t="shared" ref="P43:P44" si="25">SUM(N43:O43)</f>
        <v>0</v>
      </c>
      <c r="Q43" s="240">
        <f t="shared" ref="Q43:Q44" si="26">M43+I43</f>
        <v>0</v>
      </c>
      <c r="R43" s="251">
        <f>P43/$P$85</f>
        <v>0</v>
      </c>
      <c r="S43" s="251" t="str">
        <f t="shared" ref="S43:S44" si="27">IFERROR(Q43/P43,"")</f>
        <v/>
      </c>
      <c r="T43" s="407"/>
    </row>
    <row r="44" spans="1:20">
      <c r="A44" s="243">
        <f t="shared" si="1"/>
        <v>34</v>
      </c>
      <c r="B44" s="244"/>
      <c r="C44" s="244"/>
      <c r="D44" s="231" t="s">
        <v>120</v>
      </c>
      <c r="E44" s="245">
        <v>4190</v>
      </c>
      <c r="F44" s="246">
        <f>'Annual Budget '!G44</f>
        <v>0</v>
      </c>
      <c r="G44" s="392"/>
      <c r="H44" s="247">
        <f t="shared" si="22"/>
        <v>0</v>
      </c>
      <c r="I44" s="393"/>
      <c r="J44" s="246">
        <f>'Annual Budget '!I44</f>
        <v>0</v>
      </c>
      <c r="K44" s="392"/>
      <c r="L44" s="247">
        <f t="shared" ref="L44" si="28">SUM(J44:K44)</f>
        <v>0</v>
      </c>
      <c r="M44" s="393"/>
      <c r="N44" s="246">
        <f t="shared" si="23"/>
        <v>0</v>
      </c>
      <c r="O44" s="247">
        <f t="shared" si="24"/>
        <v>0</v>
      </c>
      <c r="P44" s="247">
        <f t="shared" si="25"/>
        <v>0</v>
      </c>
      <c r="Q44" s="240">
        <f t="shared" si="26"/>
        <v>0</v>
      </c>
      <c r="R44" s="251">
        <f>P44/$P$85</f>
        <v>0</v>
      </c>
      <c r="S44" s="251" t="str">
        <f t="shared" si="27"/>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'Annual Budget '!G46</f>
        <v>0</v>
      </c>
      <c r="G46" s="392"/>
      <c r="H46" s="247">
        <f t="shared" si="22"/>
        <v>0</v>
      </c>
      <c r="I46" s="393"/>
      <c r="J46" s="246">
        <f>'Annual Budget '!I46</f>
        <v>0</v>
      </c>
      <c r="K46" s="392"/>
      <c r="L46" s="247">
        <f t="shared" ref="L46" si="29">SUM(J46:K46)</f>
        <v>0</v>
      </c>
      <c r="M46" s="393"/>
      <c r="N46" s="246">
        <f t="shared" ref="N46:N47" si="30">F46+J46</f>
        <v>0</v>
      </c>
      <c r="O46" s="247">
        <f t="shared" ref="O46:O47" si="31">K46+G46</f>
        <v>0</v>
      </c>
      <c r="P46" s="247">
        <f t="shared" ref="P46:P47" si="32">SUM(N46:O46)</f>
        <v>0</v>
      </c>
      <c r="Q46" s="240">
        <f t="shared" ref="Q46:Q47" si="33">M46+I46</f>
        <v>0</v>
      </c>
      <c r="R46" s="251">
        <f>P46/$P$85</f>
        <v>0</v>
      </c>
      <c r="S46" s="251" t="str">
        <f t="shared" ref="S46:S48" si="34">IFERROR(Q46/P46,"")</f>
        <v/>
      </c>
      <c r="T46" s="414"/>
    </row>
    <row r="47" spans="1:20">
      <c r="A47" s="243">
        <f t="shared" si="1"/>
        <v>37</v>
      </c>
      <c r="B47" s="244"/>
      <c r="C47" s="244"/>
      <c r="D47" s="231" t="s">
        <v>55</v>
      </c>
      <c r="E47" s="245">
        <v>4390</v>
      </c>
      <c r="F47" s="246">
        <f>'Annual Budget '!G47</f>
        <v>0</v>
      </c>
      <c r="G47" s="392"/>
      <c r="H47" s="247">
        <f t="shared" si="22"/>
        <v>0</v>
      </c>
      <c r="I47" s="393"/>
      <c r="J47" s="253"/>
      <c r="K47" s="254"/>
      <c r="L47" s="254"/>
      <c r="M47" s="255"/>
      <c r="N47" s="246">
        <f t="shared" si="30"/>
        <v>0</v>
      </c>
      <c r="O47" s="247">
        <f t="shared" si="31"/>
        <v>0</v>
      </c>
      <c r="P47" s="247">
        <f t="shared" si="32"/>
        <v>0</v>
      </c>
      <c r="Q47" s="240">
        <f t="shared" si="33"/>
        <v>0</v>
      </c>
      <c r="R47" s="251">
        <f>P47/$P$85</f>
        <v>0</v>
      </c>
      <c r="S47" s="251" t="str">
        <f t="shared" si="34"/>
        <v/>
      </c>
      <c r="T47" s="407"/>
    </row>
    <row r="48" spans="1:20">
      <c r="A48" s="243">
        <f t="shared" si="1"/>
        <v>38</v>
      </c>
      <c r="B48" s="244"/>
      <c r="C48" s="244"/>
      <c r="D48" s="231"/>
      <c r="E48" s="245"/>
      <c r="F48" s="246">
        <f>'Annual Budget '!G48</f>
        <v>0</v>
      </c>
      <c r="G48" s="392"/>
      <c r="H48" s="247">
        <f t="shared" si="22"/>
        <v>0</v>
      </c>
      <c r="I48" s="393"/>
      <c r="J48" s="246">
        <f>'Annual Budget '!I48</f>
        <v>0</v>
      </c>
      <c r="K48" s="392"/>
      <c r="L48" s="247">
        <f t="shared" ref="L48:L51" si="35">SUM(J48:K48)</f>
        <v>0</v>
      </c>
      <c r="M48" s="393"/>
      <c r="N48" s="246">
        <f>F48+J48</f>
        <v>0</v>
      </c>
      <c r="O48" s="247">
        <f>K48+G48</f>
        <v>0</v>
      </c>
      <c r="P48" s="247">
        <f>SUM(N48:O48)</f>
        <v>0</v>
      </c>
      <c r="Q48" s="240">
        <f>M48+I48</f>
        <v>0</v>
      </c>
      <c r="R48" s="251">
        <f>P48/$P$85</f>
        <v>0</v>
      </c>
      <c r="S48" s="251" t="str">
        <f t="shared" si="34"/>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'Annual Budget '!I50</f>
        <v>0</v>
      </c>
      <c r="K50" s="392"/>
      <c r="L50" s="247">
        <f t="shared" si="35"/>
        <v>0</v>
      </c>
      <c r="M50" s="393"/>
      <c r="N50" s="246">
        <f t="shared" ref="N50:N51" si="36">F50+J50</f>
        <v>0</v>
      </c>
      <c r="O50" s="247">
        <f t="shared" ref="O50:O51" si="37">K50+G50</f>
        <v>0</v>
      </c>
      <c r="P50" s="247">
        <f t="shared" ref="P50:P51" si="38">SUM(N50:O50)</f>
        <v>0</v>
      </c>
      <c r="Q50" s="240">
        <f t="shared" ref="Q50:Q51" si="39">M50+I50</f>
        <v>0</v>
      </c>
      <c r="R50" s="251">
        <f>P50/$P$85</f>
        <v>0</v>
      </c>
      <c r="S50" s="251" t="str">
        <f t="shared" ref="S50:S51" si="40">IFERROR(Q50/P50,"")</f>
        <v/>
      </c>
      <c r="T50" s="407"/>
    </row>
    <row r="51" spans="1:20">
      <c r="A51" s="243">
        <f t="shared" si="1"/>
        <v>41</v>
      </c>
      <c r="B51" s="244"/>
      <c r="C51" s="244"/>
      <c r="D51" s="231" t="s">
        <v>3</v>
      </c>
      <c r="E51" s="245">
        <v>4515</v>
      </c>
      <c r="F51" s="249"/>
      <c r="G51" s="250"/>
      <c r="H51" s="250"/>
      <c r="I51" s="240"/>
      <c r="J51" s="246">
        <f>'Annual Budget '!I51</f>
        <v>253953.58336078693</v>
      </c>
      <c r="K51" s="392"/>
      <c r="L51" s="247">
        <f t="shared" si="35"/>
        <v>253953.58336078693</v>
      </c>
      <c r="M51" s="393"/>
      <c r="N51" s="246">
        <f t="shared" si="36"/>
        <v>253953.58336078693</v>
      </c>
      <c r="O51" s="247">
        <f t="shared" si="37"/>
        <v>0</v>
      </c>
      <c r="P51" s="247">
        <f t="shared" si="38"/>
        <v>253953.58336078693</v>
      </c>
      <c r="Q51" s="240">
        <f t="shared" si="39"/>
        <v>0</v>
      </c>
      <c r="R51" s="251">
        <f>P51/$P$85</f>
        <v>4.6467347454858539E-2</v>
      </c>
      <c r="S51" s="251">
        <f t="shared" si="40"/>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'Annual Budget '!I53</f>
        <v>54419</v>
      </c>
      <c r="K53" s="392"/>
      <c r="L53" s="247">
        <f t="shared" ref="L53:L56" si="41">SUM(J53:K53)</f>
        <v>54419</v>
      </c>
      <c r="M53" s="393"/>
      <c r="N53" s="246">
        <f t="shared" ref="N53:N56" si="42">F53+J53</f>
        <v>54419</v>
      </c>
      <c r="O53" s="247">
        <f t="shared" ref="O53:O56" si="43">K53+G53</f>
        <v>0</v>
      </c>
      <c r="P53" s="247">
        <f t="shared" ref="P53:P56" si="44">SUM(N53:O53)</f>
        <v>54419</v>
      </c>
      <c r="Q53" s="240">
        <f t="shared" ref="Q53:Q56" si="45">M53+I53</f>
        <v>0</v>
      </c>
      <c r="R53" s="251">
        <f>P53/$P$85</f>
        <v>9.9573573551567599E-3</v>
      </c>
      <c r="S53" s="251">
        <f t="shared" ref="S53:S56" si="46">IFERROR(Q53/P53,"")</f>
        <v>0</v>
      </c>
      <c r="T53" s="407"/>
    </row>
    <row r="54" spans="1:20">
      <c r="A54" s="243">
        <f t="shared" si="1"/>
        <v>44</v>
      </c>
      <c r="B54" s="244"/>
      <c r="C54" s="244"/>
      <c r="D54" s="231" t="s">
        <v>59</v>
      </c>
      <c r="E54" s="245" t="s">
        <v>60</v>
      </c>
      <c r="F54" s="249"/>
      <c r="G54" s="250"/>
      <c r="H54" s="250"/>
      <c r="I54" s="240"/>
      <c r="J54" s="246">
        <f>'Annual Budget '!I54</f>
        <v>3500</v>
      </c>
      <c r="K54" s="392"/>
      <c r="L54" s="247">
        <f t="shared" si="41"/>
        <v>3500</v>
      </c>
      <c r="M54" s="393"/>
      <c r="N54" s="246">
        <f t="shared" si="42"/>
        <v>3500</v>
      </c>
      <c r="O54" s="247">
        <f t="shared" si="43"/>
        <v>0</v>
      </c>
      <c r="P54" s="247">
        <f t="shared" si="44"/>
        <v>3500</v>
      </c>
      <c r="Q54" s="240">
        <f t="shared" si="45"/>
        <v>0</v>
      </c>
      <c r="R54" s="251">
        <f>P54/$P$85</f>
        <v>6.4041512602305546E-4</v>
      </c>
      <c r="S54" s="251">
        <f t="shared" si="46"/>
        <v>0</v>
      </c>
      <c r="T54" s="407"/>
    </row>
    <row r="55" spans="1:20">
      <c r="A55" s="243">
        <f t="shared" si="1"/>
        <v>45</v>
      </c>
      <c r="B55" s="244"/>
      <c r="C55" s="244"/>
      <c r="D55" s="231" t="s">
        <v>140</v>
      </c>
      <c r="E55" s="245">
        <v>4535</v>
      </c>
      <c r="F55" s="249"/>
      <c r="G55" s="250"/>
      <c r="H55" s="250"/>
      <c r="I55" s="240"/>
      <c r="J55" s="246">
        <f>'Annual Budget '!I55</f>
        <v>0</v>
      </c>
      <c r="K55" s="392"/>
      <c r="L55" s="247">
        <f t="shared" si="41"/>
        <v>0</v>
      </c>
      <c r="M55" s="393"/>
      <c r="N55" s="246">
        <f t="shared" si="42"/>
        <v>0</v>
      </c>
      <c r="O55" s="247">
        <f t="shared" si="43"/>
        <v>0</v>
      </c>
      <c r="P55" s="247">
        <f t="shared" si="44"/>
        <v>0</v>
      </c>
      <c r="Q55" s="240">
        <f t="shared" si="45"/>
        <v>0</v>
      </c>
      <c r="R55" s="251">
        <f>P55/$P$85</f>
        <v>0</v>
      </c>
      <c r="S55" s="251" t="str">
        <f t="shared" si="46"/>
        <v/>
      </c>
      <c r="T55" s="407"/>
    </row>
    <row r="56" spans="1:20">
      <c r="A56" s="243">
        <f t="shared" si="1"/>
        <v>46</v>
      </c>
      <c r="B56" s="244"/>
      <c r="C56" s="244"/>
      <c r="D56" s="231" t="s">
        <v>61</v>
      </c>
      <c r="E56" s="245" t="s">
        <v>62</v>
      </c>
      <c r="F56" s="249"/>
      <c r="G56" s="250"/>
      <c r="H56" s="250"/>
      <c r="I56" s="240"/>
      <c r="J56" s="246">
        <f>'Annual Budget '!I56</f>
        <v>0</v>
      </c>
      <c r="K56" s="392"/>
      <c r="L56" s="247">
        <f t="shared" si="41"/>
        <v>0</v>
      </c>
      <c r="M56" s="393"/>
      <c r="N56" s="246">
        <f t="shared" si="42"/>
        <v>0</v>
      </c>
      <c r="O56" s="247">
        <f t="shared" si="43"/>
        <v>0</v>
      </c>
      <c r="P56" s="247">
        <f t="shared" si="44"/>
        <v>0</v>
      </c>
      <c r="Q56" s="240">
        <f t="shared" si="45"/>
        <v>0</v>
      </c>
      <c r="R56" s="251">
        <f>P56/$P$85</f>
        <v>0</v>
      </c>
      <c r="S56" s="251" t="str">
        <f t="shared" si="46"/>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'Annual Budget '!I58</f>
        <v>750000</v>
      </c>
      <c r="K58" s="392"/>
      <c r="L58" s="247">
        <f t="shared" ref="L58:L79" si="47">SUM(J58:K58)</f>
        <v>750000</v>
      </c>
      <c r="M58" s="393"/>
      <c r="N58" s="246">
        <f t="shared" ref="N58:N79" si="48">F58+J58</f>
        <v>750000</v>
      </c>
      <c r="O58" s="247">
        <f t="shared" ref="O58:O79" si="49">K58+G58</f>
        <v>0</v>
      </c>
      <c r="P58" s="247">
        <f t="shared" ref="P58:P79" si="50">SUM(N58:O58)</f>
        <v>750000</v>
      </c>
      <c r="Q58" s="240">
        <f t="shared" ref="Q58:Q79" si="51">M58+I58</f>
        <v>0</v>
      </c>
      <c r="R58" s="251">
        <f t="shared" ref="R58:R65" si="52">P58/$P$85</f>
        <v>0.13723181271922619</v>
      </c>
      <c r="S58" s="251">
        <f t="shared" ref="S58:S65" si="53">IFERROR(Q58/P58,"")</f>
        <v>0</v>
      </c>
      <c r="T58" s="407"/>
    </row>
    <row r="59" spans="1:20">
      <c r="A59" s="243">
        <f t="shared" si="1"/>
        <v>49</v>
      </c>
      <c r="B59" s="244"/>
      <c r="C59" s="244"/>
      <c r="D59" s="231" t="s">
        <v>136</v>
      </c>
      <c r="E59" s="245">
        <v>4550</v>
      </c>
      <c r="F59" s="249"/>
      <c r="G59" s="250"/>
      <c r="H59" s="250"/>
      <c r="I59" s="240"/>
      <c r="J59" s="246">
        <f>'Annual Budget '!I59</f>
        <v>0</v>
      </c>
      <c r="K59" s="392"/>
      <c r="L59" s="247">
        <f t="shared" si="47"/>
        <v>0</v>
      </c>
      <c r="M59" s="393"/>
      <c r="N59" s="246">
        <f t="shared" si="48"/>
        <v>0</v>
      </c>
      <c r="O59" s="247">
        <f t="shared" si="49"/>
        <v>0</v>
      </c>
      <c r="P59" s="247">
        <f t="shared" si="50"/>
        <v>0</v>
      </c>
      <c r="Q59" s="240">
        <f t="shared" si="51"/>
        <v>0</v>
      </c>
      <c r="R59" s="251">
        <f t="shared" si="52"/>
        <v>0</v>
      </c>
      <c r="S59" s="251" t="str">
        <f t="shared" si="53"/>
        <v/>
      </c>
      <c r="T59" s="407"/>
    </row>
    <row r="60" spans="1:20">
      <c r="A60" s="243">
        <f t="shared" si="1"/>
        <v>50</v>
      </c>
      <c r="B60" s="244"/>
      <c r="C60" s="244"/>
      <c r="D60" s="231" t="s">
        <v>64</v>
      </c>
      <c r="E60" s="245" t="s">
        <v>65</v>
      </c>
      <c r="F60" s="249"/>
      <c r="G60" s="250"/>
      <c r="H60" s="250"/>
      <c r="I60" s="240"/>
      <c r="J60" s="246">
        <f>'Annual Budget '!I60</f>
        <v>0</v>
      </c>
      <c r="K60" s="392"/>
      <c r="L60" s="247">
        <f t="shared" si="47"/>
        <v>0</v>
      </c>
      <c r="M60" s="393"/>
      <c r="N60" s="246">
        <f t="shared" si="48"/>
        <v>0</v>
      </c>
      <c r="O60" s="247">
        <f t="shared" si="49"/>
        <v>0</v>
      </c>
      <c r="P60" s="247">
        <f t="shared" si="50"/>
        <v>0</v>
      </c>
      <c r="Q60" s="240">
        <f t="shared" si="51"/>
        <v>0</v>
      </c>
      <c r="R60" s="251">
        <f t="shared" si="52"/>
        <v>0</v>
      </c>
      <c r="S60" s="251" t="str">
        <f t="shared" si="53"/>
        <v/>
      </c>
      <c r="T60" s="407"/>
    </row>
    <row r="61" spans="1:20">
      <c r="A61" s="243">
        <f t="shared" si="1"/>
        <v>51</v>
      </c>
      <c r="B61" s="244"/>
      <c r="C61" s="244"/>
      <c r="D61" s="231" t="s">
        <v>142</v>
      </c>
      <c r="E61" s="245" t="s">
        <v>66</v>
      </c>
      <c r="F61" s="249"/>
      <c r="G61" s="250"/>
      <c r="H61" s="250"/>
      <c r="I61" s="240"/>
      <c r="J61" s="246">
        <f>'Annual Budget '!I61</f>
        <v>27778</v>
      </c>
      <c r="K61" s="392"/>
      <c r="L61" s="247">
        <f t="shared" si="47"/>
        <v>27778</v>
      </c>
      <c r="M61" s="393"/>
      <c r="N61" s="246">
        <f t="shared" si="48"/>
        <v>27778</v>
      </c>
      <c r="O61" s="247">
        <f t="shared" si="49"/>
        <v>0</v>
      </c>
      <c r="P61" s="247">
        <f t="shared" si="50"/>
        <v>27778</v>
      </c>
      <c r="Q61" s="240">
        <f t="shared" si="51"/>
        <v>0</v>
      </c>
      <c r="R61" s="251">
        <f t="shared" si="52"/>
        <v>5.0827003916195527E-3</v>
      </c>
      <c r="S61" s="251">
        <f t="shared" si="53"/>
        <v>0</v>
      </c>
      <c r="T61" s="407"/>
    </row>
    <row r="62" spans="1:20">
      <c r="A62" s="243">
        <f t="shared" si="1"/>
        <v>52</v>
      </c>
      <c r="B62" s="244"/>
      <c r="C62" s="244"/>
      <c r="D62" s="231" t="s">
        <v>151</v>
      </c>
      <c r="E62" s="245" t="s">
        <v>67</v>
      </c>
      <c r="F62" s="249"/>
      <c r="G62" s="250"/>
      <c r="H62" s="250"/>
      <c r="I62" s="240"/>
      <c r="J62" s="246">
        <f>'Annual Budget '!I62</f>
        <v>18932</v>
      </c>
      <c r="K62" s="392"/>
      <c r="L62" s="247">
        <f t="shared" si="47"/>
        <v>18932</v>
      </c>
      <c r="M62" s="393"/>
      <c r="N62" s="246">
        <f t="shared" si="48"/>
        <v>18932</v>
      </c>
      <c r="O62" s="247">
        <f t="shared" si="49"/>
        <v>0</v>
      </c>
      <c r="P62" s="247">
        <f t="shared" si="50"/>
        <v>18932</v>
      </c>
      <c r="Q62" s="240">
        <f t="shared" si="51"/>
        <v>0</v>
      </c>
      <c r="R62" s="251">
        <f t="shared" si="52"/>
        <v>3.4640969045338535E-3</v>
      </c>
      <c r="S62" s="251">
        <f t="shared" si="53"/>
        <v>0</v>
      </c>
      <c r="T62" s="407"/>
    </row>
    <row r="63" spans="1:20">
      <c r="A63" s="243">
        <f t="shared" si="1"/>
        <v>53</v>
      </c>
      <c r="B63" s="244"/>
      <c r="C63" s="244"/>
      <c r="D63" s="231" t="s">
        <v>143</v>
      </c>
      <c r="E63" s="245">
        <v>4559</v>
      </c>
      <c r="F63" s="249"/>
      <c r="G63" s="250"/>
      <c r="H63" s="250"/>
      <c r="I63" s="240"/>
      <c r="J63" s="246">
        <f>'Annual Budget '!I63</f>
        <v>0</v>
      </c>
      <c r="K63" s="392"/>
      <c r="L63" s="247">
        <f t="shared" si="47"/>
        <v>0</v>
      </c>
      <c r="M63" s="393"/>
      <c r="N63" s="246">
        <f t="shared" si="48"/>
        <v>0</v>
      </c>
      <c r="O63" s="247">
        <f t="shared" si="49"/>
        <v>0</v>
      </c>
      <c r="P63" s="247">
        <f t="shared" si="50"/>
        <v>0</v>
      </c>
      <c r="Q63" s="240">
        <f t="shared" si="51"/>
        <v>0</v>
      </c>
      <c r="R63" s="251">
        <f t="shared" si="52"/>
        <v>0</v>
      </c>
      <c r="S63" s="251" t="str">
        <f t="shared" si="53"/>
        <v/>
      </c>
      <c r="T63" s="407"/>
    </row>
    <row r="64" spans="1:20">
      <c r="A64" s="243">
        <f t="shared" si="1"/>
        <v>54</v>
      </c>
      <c r="B64" s="244"/>
      <c r="C64" s="244"/>
      <c r="D64" s="231" t="s">
        <v>152</v>
      </c>
      <c r="E64" s="245">
        <v>4553</v>
      </c>
      <c r="F64" s="249"/>
      <c r="G64" s="250"/>
      <c r="H64" s="250"/>
      <c r="I64" s="240"/>
      <c r="J64" s="246">
        <f>'Annual Budget '!I64</f>
        <v>0</v>
      </c>
      <c r="K64" s="392"/>
      <c r="L64" s="247">
        <f t="shared" si="47"/>
        <v>0</v>
      </c>
      <c r="M64" s="393"/>
      <c r="N64" s="246">
        <f t="shared" si="48"/>
        <v>0</v>
      </c>
      <c r="O64" s="247">
        <f t="shared" si="49"/>
        <v>0</v>
      </c>
      <c r="P64" s="247">
        <f t="shared" si="50"/>
        <v>0</v>
      </c>
      <c r="Q64" s="240">
        <f t="shared" si="51"/>
        <v>0</v>
      </c>
      <c r="R64" s="251">
        <f t="shared" si="52"/>
        <v>0</v>
      </c>
      <c r="S64" s="251" t="str">
        <f t="shared" si="53"/>
        <v/>
      </c>
      <c r="T64" s="407"/>
    </row>
    <row r="65" spans="1:20">
      <c r="A65" s="243">
        <f t="shared" si="1"/>
        <v>55</v>
      </c>
      <c r="B65" s="244"/>
      <c r="C65" s="244"/>
      <c r="D65" s="231" t="s">
        <v>141</v>
      </c>
      <c r="E65" s="245">
        <v>4559</v>
      </c>
      <c r="F65" s="249"/>
      <c r="G65" s="250"/>
      <c r="H65" s="250"/>
      <c r="I65" s="240"/>
      <c r="J65" s="246">
        <f>'Annual Budget '!I65</f>
        <v>0</v>
      </c>
      <c r="K65" s="392"/>
      <c r="L65" s="247">
        <f t="shared" si="47"/>
        <v>0</v>
      </c>
      <c r="M65" s="393"/>
      <c r="N65" s="246">
        <f t="shared" si="48"/>
        <v>0</v>
      </c>
      <c r="O65" s="247">
        <f t="shared" si="49"/>
        <v>0</v>
      </c>
      <c r="P65" s="247">
        <f t="shared" si="50"/>
        <v>0</v>
      </c>
      <c r="Q65" s="240">
        <f t="shared" si="51"/>
        <v>0</v>
      </c>
      <c r="R65" s="251">
        <f t="shared" si="52"/>
        <v>0</v>
      </c>
      <c r="S65" s="251" t="str">
        <f t="shared" si="53"/>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'Annual Budget '!I67</f>
        <v>0</v>
      </c>
      <c r="K67" s="392"/>
      <c r="L67" s="247">
        <f t="shared" si="47"/>
        <v>0</v>
      </c>
      <c r="M67" s="393"/>
      <c r="N67" s="246">
        <f t="shared" si="48"/>
        <v>0</v>
      </c>
      <c r="O67" s="247">
        <f t="shared" si="49"/>
        <v>0</v>
      </c>
      <c r="P67" s="247">
        <f t="shared" si="50"/>
        <v>0</v>
      </c>
      <c r="Q67" s="240">
        <f t="shared" si="51"/>
        <v>0</v>
      </c>
      <c r="R67" s="251">
        <f t="shared" ref="R67:R80" si="54">P67/$P$85</f>
        <v>0</v>
      </c>
      <c r="S67" s="251" t="str">
        <f t="shared" ref="S67:S79" si="55">IFERROR(Q67/P67,"")</f>
        <v/>
      </c>
      <c r="T67" s="407"/>
    </row>
    <row r="68" spans="1:20">
      <c r="A68" s="243">
        <f t="shared" si="1"/>
        <v>58</v>
      </c>
      <c r="B68" s="244"/>
      <c r="C68" s="244"/>
      <c r="D68" s="231" t="s">
        <v>154</v>
      </c>
      <c r="E68" s="245">
        <v>4590</v>
      </c>
      <c r="F68" s="249"/>
      <c r="G68" s="250"/>
      <c r="H68" s="250"/>
      <c r="I68" s="240"/>
      <c r="J68" s="246">
        <f>'Annual Budget '!I68</f>
        <v>0</v>
      </c>
      <c r="K68" s="392"/>
      <c r="L68" s="247">
        <f t="shared" si="47"/>
        <v>0</v>
      </c>
      <c r="M68" s="393"/>
      <c r="N68" s="246">
        <f t="shared" si="48"/>
        <v>0</v>
      </c>
      <c r="O68" s="247">
        <f t="shared" si="49"/>
        <v>0</v>
      </c>
      <c r="P68" s="247">
        <f t="shared" si="50"/>
        <v>0</v>
      </c>
      <c r="Q68" s="240">
        <f t="shared" si="51"/>
        <v>0</v>
      </c>
      <c r="R68" s="251">
        <f t="shared" si="54"/>
        <v>0</v>
      </c>
      <c r="S68" s="251" t="str">
        <f t="shared" si="55"/>
        <v/>
      </c>
      <c r="T68" s="407"/>
    </row>
    <row r="69" spans="1:20">
      <c r="A69" s="243">
        <f t="shared" si="1"/>
        <v>59</v>
      </c>
      <c r="B69" s="244"/>
      <c r="C69" s="244"/>
      <c r="D69" s="231" t="s">
        <v>155</v>
      </c>
      <c r="E69" s="245">
        <v>4590</v>
      </c>
      <c r="F69" s="249"/>
      <c r="G69" s="250"/>
      <c r="H69" s="250"/>
      <c r="I69" s="240"/>
      <c r="J69" s="246">
        <f>'Annual Budget '!I69</f>
        <v>0</v>
      </c>
      <c r="K69" s="392"/>
      <c r="L69" s="247">
        <f t="shared" si="47"/>
        <v>0</v>
      </c>
      <c r="M69" s="393"/>
      <c r="N69" s="246">
        <f t="shared" si="48"/>
        <v>0</v>
      </c>
      <c r="O69" s="247">
        <f t="shared" si="49"/>
        <v>0</v>
      </c>
      <c r="P69" s="247">
        <f t="shared" si="50"/>
        <v>0</v>
      </c>
      <c r="Q69" s="240">
        <f t="shared" si="51"/>
        <v>0</v>
      </c>
      <c r="R69" s="251">
        <f t="shared" si="54"/>
        <v>0</v>
      </c>
      <c r="S69" s="251" t="str">
        <f t="shared" si="55"/>
        <v/>
      </c>
      <c r="T69" s="407"/>
    </row>
    <row r="70" spans="1:20">
      <c r="A70" s="243">
        <f t="shared" si="1"/>
        <v>60</v>
      </c>
      <c r="B70" s="244"/>
      <c r="C70" s="244"/>
      <c r="D70" s="231" t="s">
        <v>156</v>
      </c>
      <c r="E70" s="245">
        <v>4590</v>
      </c>
      <c r="F70" s="249"/>
      <c r="G70" s="250"/>
      <c r="H70" s="250"/>
      <c r="I70" s="240"/>
      <c r="J70" s="246">
        <f>'Annual Budget '!I70</f>
        <v>600000</v>
      </c>
      <c r="K70" s="392"/>
      <c r="L70" s="247">
        <f t="shared" si="47"/>
        <v>600000</v>
      </c>
      <c r="M70" s="393"/>
      <c r="N70" s="246">
        <f t="shared" si="48"/>
        <v>600000</v>
      </c>
      <c r="O70" s="247">
        <f t="shared" si="49"/>
        <v>0</v>
      </c>
      <c r="P70" s="247">
        <f t="shared" si="50"/>
        <v>600000</v>
      </c>
      <c r="Q70" s="240">
        <f t="shared" si="51"/>
        <v>0</v>
      </c>
      <c r="R70" s="251">
        <f t="shared" si="54"/>
        <v>0.10978545017538094</v>
      </c>
      <c r="S70" s="251">
        <f t="shared" si="55"/>
        <v>0</v>
      </c>
      <c r="T70" s="407"/>
    </row>
    <row r="71" spans="1:20">
      <c r="A71" s="243">
        <f t="shared" si="1"/>
        <v>61</v>
      </c>
      <c r="B71" s="244"/>
      <c r="C71" s="244"/>
      <c r="D71" s="231" t="s">
        <v>157</v>
      </c>
      <c r="E71" s="245">
        <v>4590</v>
      </c>
      <c r="F71" s="249"/>
      <c r="G71" s="250"/>
      <c r="H71" s="250"/>
      <c r="I71" s="240"/>
      <c r="J71" s="246">
        <f>'Annual Budget '!I71</f>
        <v>0</v>
      </c>
      <c r="K71" s="392"/>
      <c r="L71" s="247">
        <f t="shared" si="47"/>
        <v>0</v>
      </c>
      <c r="M71" s="393"/>
      <c r="N71" s="246">
        <f t="shared" si="48"/>
        <v>0</v>
      </c>
      <c r="O71" s="247">
        <f t="shared" si="49"/>
        <v>0</v>
      </c>
      <c r="P71" s="247">
        <f t="shared" si="50"/>
        <v>0</v>
      </c>
      <c r="Q71" s="240">
        <f t="shared" si="51"/>
        <v>0</v>
      </c>
      <c r="R71" s="251">
        <f t="shared" si="54"/>
        <v>0</v>
      </c>
      <c r="S71" s="251" t="str">
        <f t="shared" si="55"/>
        <v/>
      </c>
      <c r="T71" s="407"/>
    </row>
    <row r="72" spans="1:20">
      <c r="A72" s="243">
        <f t="shared" si="1"/>
        <v>62</v>
      </c>
      <c r="B72" s="244"/>
      <c r="C72" s="244"/>
      <c r="D72" s="231" t="s">
        <v>211</v>
      </c>
      <c r="E72" s="245">
        <v>4590</v>
      </c>
      <c r="F72" s="249"/>
      <c r="G72" s="250"/>
      <c r="H72" s="250"/>
      <c r="I72" s="240"/>
      <c r="J72" s="246">
        <f>'Annual Budget '!I72</f>
        <v>0</v>
      </c>
      <c r="K72" s="392"/>
      <c r="L72" s="247">
        <f t="shared" si="47"/>
        <v>0</v>
      </c>
      <c r="M72" s="393"/>
      <c r="N72" s="246">
        <f t="shared" si="48"/>
        <v>0</v>
      </c>
      <c r="O72" s="247">
        <f t="shared" si="49"/>
        <v>0</v>
      </c>
      <c r="P72" s="247">
        <f t="shared" si="50"/>
        <v>0</v>
      </c>
      <c r="Q72" s="240">
        <f t="shared" si="51"/>
        <v>0</v>
      </c>
      <c r="R72" s="251">
        <f t="shared" si="54"/>
        <v>0</v>
      </c>
      <c r="S72" s="251" t="str">
        <f t="shared" si="55"/>
        <v/>
      </c>
      <c r="T72" s="407"/>
    </row>
    <row r="73" spans="1:20">
      <c r="A73" s="243">
        <f t="shared" si="1"/>
        <v>63</v>
      </c>
      <c r="B73" s="244"/>
      <c r="C73" s="244"/>
      <c r="D73" s="231" t="s">
        <v>113</v>
      </c>
      <c r="E73" s="245">
        <v>4580</v>
      </c>
      <c r="F73" s="249"/>
      <c r="G73" s="250"/>
      <c r="H73" s="250"/>
      <c r="I73" s="240"/>
      <c r="J73" s="246">
        <f>'Annual Budget '!I73</f>
        <v>0</v>
      </c>
      <c r="K73" s="392"/>
      <c r="L73" s="247">
        <f t="shared" si="47"/>
        <v>0</v>
      </c>
      <c r="M73" s="393"/>
      <c r="N73" s="246">
        <f t="shared" si="48"/>
        <v>0</v>
      </c>
      <c r="O73" s="247">
        <f t="shared" si="49"/>
        <v>0</v>
      </c>
      <c r="P73" s="247">
        <f t="shared" si="50"/>
        <v>0</v>
      </c>
      <c r="Q73" s="240">
        <f t="shared" si="51"/>
        <v>0</v>
      </c>
      <c r="R73" s="251">
        <f t="shared" si="54"/>
        <v>0</v>
      </c>
      <c r="S73" s="251" t="str">
        <f t="shared" si="55"/>
        <v/>
      </c>
      <c r="T73" s="407"/>
    </row>
    <row r="74" spans="1:20">
      <c r="A74" s="243">
        <f t="shared" si="1"/>
        <v>64</v>
      </c>
      <c r="B74" s="244"/>
      <c r="C74" s="244"/>
      <c r="D74" s="231" t="s">
        <v>190</v>
      </c>
      <c r="E74" s="245" t="s">
        <v>68</v>
      </c>
      <c r="F74" s="249"/>
      <c r="G74" s="250"/>
      <c r="H74" s="250"/>
      <c r="I74" s="240"/>
      <c r="J74" s="246">
        <f>'Annual Budget '!I74</f>
        <v>0</v>
      </c>
      <c r="K74" s="392"/>
      <c r="L74" s="247">
        <f t="shared" si="47"/>
        <v>0</v>
      </c>
      <c r="M74" s="393"/>
      <c r="N74" s="246">
        <f t="shared" si="48"/>
        <v>0</v>
      </c>
      <c r="O74" s="247">
        <f t="shared" si="49"/>
        <v>0</v>
      </c>
      <c r="P74" s="247">
        <f t="shared" si="50"/>
        <v>0</v>
      </c>
      <c r="Q74" s="240">
        <f t="shared" si="51"/>
        <v>0</v>
      </c>
      <c r="R74" s="251">
        <f t="shared" si="54"/>
        <v>0</v>
      </c>
      <c r="S74" s="251" t="str">
        <f t="shared" si="55"/>
        <v/>
      </c>
      <c r="T74" s="407"/>
    </row>
    <row r="75" spans="1:20">
      <c r="A75" s="243">
        <f t="shared" si="1"/>
        <v>65</v>
      </c>
      <c r="B75" s="244"/>
      <c r="C75" s="244"/>
      <c r="D75" s="231" t="s">
        <v>139</v>
      </c>
      <c r="E75" s="245">
        <v>4590</v>
      </c>
      <c r="F75" s="249"/>
      <c r="G75" s="250"/>
      <c r="H75" s="250"/>
      <c r="I75" s="240"/>
      <c r="J75" s="246">
        <f>'Annual Budget '!I75</f>
        <v>0</v>
      </c>
      <c r="K75" s="392"/>
      <c r="L75" s="247">
        <f t="shared" si="47"/>
        <v>0</v>
      </c>
      <c r="M75" s="393"/>
      <c r="N75" s="246">
        <f t="shared" si="48"/>
        <v>0</v>
      </c>
      <c r="O75" s="247">
        <f t="shared" si="49"/>
        <v>0</v>
      </c>
      <c r="P75" s="247">
        <f t="shared" si="50"/>
        <v>0</v>
      </c>
      <c r="Q75" s="240">
        <f t="shared" si="51"/>
        <v>0</v>
      </c>
      <c r="R75" s="251">
        <f t="shared" si="54"/>
        <v>0</v>
      </c>
      <c r="S75" s="251" t="str">
        <f t="shared" si="55"/>
        <v/>
      </c>
      <c r="T75" s="407"/>
    </row>
    <row r="76" spans="1:20">
      <c r="A76" s="243">
        <f t="shared" si="1"/>
        <v>66</v>
      </c>
      <c r="B76" s="396"/>
      <c r="C76" s="396" t="s">
        <v>181</v>
      </c>
      <c r="D76" s="394"/>
      <c r="E76" s="395"/>
      <c r="F76" s="246">
        <f>'Annual Budget '!G76</f>
        <v>0</v>
      </c>
      <c r="G76" s="392"/>
      <c r="H76" s="247">
        <f t="shared" si="22"/>
        <v>0</v>
      </c>
      <c r="I76" s="393"/>
      <c r="J76" s="246">
        <f>'Annual Budget '!I76</f>
        <v>0</v>
      </c>
      <c r="K76" s="392"/>
      <c r="L76" s="247">
        <f t="shared" si="47"/>
        <v>0</v>
      </c>
      <c r="M76" s="393"/>
      <c r="N76" s="246">
        <f t="shared" si="48"/>
        <v>0</v>
      </c>
      <c r="O76" s="247">
        <f t="shared" si="49"/>
        <v>0</v>
      </c>
      <c r="P76" s="247">
        <f t="shared" si="50"/>
        <v>0</v>
      </c>
      <c r="Q76" s="240">
        <f t="shared" si="51"/>
        <v>0</v>
      </c>
      <c r="R76" s="251">
        <f t="shared" si="54"/>
        <v>0</v>
      </c>
      <c r="S76" s="251" t="str">
        <f t="shared" si="55"/>
        <v/>
      </c>
      <c r="T76" s="407"/>
    </row>
    <row r="77" spans="1:20">
      <c r="A77" s="243">
        <f t="shared" si="1"/>
        <v>67</v>
      </c>
      <c r="B77" s="396"/>
      <c r="C77" s="396" t="s">
        <v>181</v>
      </c>
      <c r="D77" s="394"/>
      <c r="E77" s="395"/>
      <c r="F77" s="246">
        <f>'Annual Budget '!G77</f>
        <v>0</v>
      </c>
      <c r="G77" s="392"/>
      <c r="H77" s="247">
        <f t="shared" si="22"/>
        <v>0</v>
      </c>
      <c r="I77" s="393"/>
      <c r="J77" s="246">
        <f>'Annual Budget '!I77</f>
        <v>0</v>
      </c>
      <c r="K77" s="392"/>
      <c r="L77" s="247">
        <f t="shared" si="47"/>
        <v>0</v>
      </c>
      <c r="M77" s="393"/>
      <c r="N77" s="246">
        <f t="shared" si="48"/>
        <v>0</v>
      </c>
      <c r="O77" s="247">
        <f t="shared" si="49"/>
        <v>0</v>
      </c>
      <c r="P77" s="247">
        <f t="shared" si="50"/>
        <v>0</v>
      </c>
      <c r="Q77" s="240">
        <f t="shared" si="51"/>
        <v>0</v>
      </c>
      <c r="R77" s="251">
        <f t="shared" si="54"/>
        <v>0</v>
      </c>
      <c r="S77" s="251" t="str">
        <f t="shared" si="55"/>
        <v/>
      </c>
      <c r="T77" s="407"/>
    </row>
    <row r="78" spans="1:20" ht="14.25" customHeight="1">
      <c r="A78" s="243">
        <f t="shared" ref="A78:A141" si="56">A77+1</f>
        <v>68</v>
      </c>
      <c r="B78" s="396"/>
      <c r="C78" s="396" t="s">
        <v>181</v>
      </c>
      <c r="D78" s="394"/>
      <c r="E78" s="395"/>
      <c r="F78" s="246">
        <f>'Annual Budget '!G78</f>
        <v>0</v>
      </c>
      <c r="G78" s="392"/>
      <c r="H78" s="247">
        <f t="shared" si="22"/>
        <v>0</v>
      </c>
      <c r="I78" s="393"/>
      <c r="J78" s="246">
        <f>'Annual Budget '!I78</f>
        <v>0</v>
      </c>
      <c r="K78" s="392"/>
      <c r="L78" s="247">
        <f t="shared" si="47"/>
        <v>0</v>
      </c>
      <c r="M78" s="393"/>
      <c r="N78" s="246">
        <f t="shared" si="48"/>
        <v>0</v>
      </c>
      <c r="O78" s="247">
        <f t="shared" si="49"/>
        <v>0</v>
      </c>
      <c r="P78" s="247">
        <f t="shared" si="50"/>
        <v>0</v>
      </c>
      <c r="Q78" s="240">
        <f t="shared" si="51"/>
        <v>0</v>
      </c>
      <c r="R78" s="251">
        <f t="shared" si="54"/>
        <v>0</v>
      </c>
      <c r="S78" s="251" t="str">
        <f t="shared" si="55"/>
        <v/>
      </c>
      <c r="T78" s="407"/>
    </row>
    <row r="79" spans="1:20" ht="14.25" customHeight="1">
      <c r="A79" s="243">
        <f t="shared" si="56"/>
        <v>69</v>
      </c>
      <c r="B79" s="396"/>
      <c r="C79" s="396" t="s">
        <v>181</v>
      </c>
      <c r="D79" s="394"/>
      <c r="E79" s="397"/>
      <c r="F79" s="246">
        <f>'Annual Budget '!G79</f>
        <v>0</v>
      </c>
      <c r="G79" s="392"/>
      <c r="H79" s="247">
        <f t="shared" si="22"/>
        <v>0</v>
      </c>
      <c r="I79" s="393"/>
      <c r="J79" s="246">
        <f>'Annual Budget '!I79</f>
        <v>0</v>
      </c>
      <c r="K79" s="392"/>
      <c r="L79" s="247">
        <f t="shared" si="47"/>
        <v>0</v>
      </c>
      <c r="M79" s="393"/>
      <c r="N79" s="246">
        <f t="shared" si="48"/>
        <v>0</v>
      </c>
      <c r="O79" s="247">
        <f t="shared" si="49"/>
        <v>0</v>
      </c>
      <c r="P79" s="247">
        <f t="shared" si="50"/>
        <v>0</v>
      </c>
      <c r="Q79" s="240">
        <f t="shared" si="51"/>
        <v>0</v>
      </c>
      <c r="R79" s="251">
        <f t="shared" si="54"/>
        <v>0</v>
      </c>
      <c r="S79" s="251" t="str">
        <f t="shared" si="55"/>
        <v/>
      </c>
      <c r="T79" s="407"/>
    </row>
    <row r="80" spans="1:20">
      <c r="A80" s="256">
        <f t="shared" si="56"/>
        <v>70</v>
      </c>
      <c r="B80" s="257" t="s">
        <v>69</v>
      </c>
      <c r="C80" s="257"/>
      <c r="D80" s="258"/>
      <c r="E80" s="259"/>
      <c r="F80" s="260">
        <f>SUM(F43:F79)</f>
        <v>0</v>
      </c>
      <c r="G80" s="261">
        <f t="shared" ref="G80:Q80" si="57">SUM(G43:G79)</f>
        <v>0</v>
      </c>
      <c r="H80" s="261">
        <f t="shared" si="57"/>
        <v>0</v>
      </c>
      <c r="I80" s="262">
        <f t="shared" si="57"/>
        <v>0</v>
      </c>
      <c r="J80" s="260">
        <f t="shared" si="57"/>
        <v>1708582.583360787</v>
      </c>
      <c r="K80" s="261">
        <f t="shared" si="57"/>
        <v>0</v>
      </c>
      <c r="L80" s="261">
        <f t="shared" si="57"/>
        <v>1708582.583360787</v>
      </c>
      <c r="M80" s="262">
        <f t="shared" si="57"/>
        <v>0</v>
      </c>
      <c r="N80" s="260">
        <f t="shared" si="57"/>
        <v>1708582.583360787</v>
      </c>
      <c r="O80" s="261">
        <f t="shared" si="57"/>
        <v>0</v>
      </c>
      <c r="P80" s="261">
        <f t="shared" si="57"/>
        <v>1708582.583360787</v>
      </c>
      <c r="Q80" s="262">
        <f t="shared" si="57"/>
        <v>0</v>
      </c>
      <c r="R80" s="263">
        <f t="shared" si="54"/>
        <v>0.31262918012679891</v>
      </c>
      <c r="S80" s="263">
        <f>IFERROR(Q80/P80,"")</f>
        <v>0</v>
      </c>
      <c r="T80" s="408"/>
    </row>
    <row r="81" spans="1:20" ht="18" customHeight="1">
      <c r="A81" s="243">
        <f t="shared" si="56"/>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6"/>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6"/>
        <v>73</v>
      </c>
      <c r="B83" s="396"/>
      <c r="C83" s="396"/>
      <c r="D83" s="394"/>
      <c r="E83" s="395"/>
      <c r="F83" s="246">
        <f>'Annual Budget '!G83</f>
        <v>0</v>
      </c>
      <c r="G83" s="392"/>
      <c r="H83" s="247">
        <f t="shared" ref="H83:H84" si="58">SUM(F83:G83)</f>
        <v>0</v>
      </c>
      <c r="I83" s="393"/>
      <c r="J83" s="246">
        <f>'Annual Budget '!I83</f>
        <v>0</v>
      </c>
      <c r="K83" s="392"/>
      <c r="L83" s="247">
        <f t="shared" ref="L83:L84" si="59">SUM(J83:K83)</f>
        <v>0</v>
      </c>
      <c r="M83" s="393"/>
      <c r="N83" s="246">
        <f t="shared" ref="N83:N84" si="60">F83+J83</f>
        <v>0</v>
      </c>
      <c r="O83" s="247">
        <f t="shared" ref="O83:O84" si="61">K83+G83</f>
        <v>0</v>
      </c>
      <c r="P83" s="247">
        <f t="shared" ref="P83:P84" si="62">SUM(N83:O83)</f>
        <v>0</v>
      </c>
      <c r="Q83" s="240">
        <f t="shared" ref="Q83:Q84" si="63">M83+I83</f>
        <v>0</v>
      </c>
      <c r="R83" s="251">
        <f t="shared" ref="R83:R85" si="64">P83/$P$85</f>
        <v>0</v>
      </c>
      <c r="S83" s="251" t="str">
        <f t="shared" ref="S83:S85" si="65">IFERROR(Q83/P83,"")</f>
        <v/>
      </c>
      <c r="T83" s="407"/>
    </row>
    <row r="84" spans="1:20">
      <c r="A84" s="243">
        <f t="shared" si="56"/>
        <v>74</v>
      </c>
      <c r="B84" s="396"/>
      <c r="C84" s="396"/>
      <c r="D84" s="394"/>
      <c r="E84" s="397"/>
      <c r="F84" s="246">
        <f>'Annual Budget '!G84</f>
        <v>0</v>
      </c>
      <c r="G84" s="392"/>
      <c r="H84" s="247">
        <f t="shared" si="58"/>
        <v>0</v>
      </c>
      <c r="I84" s="393"/>
      <c r="J84" s="246">
        <f>'Annual Budget '!I84</f>
        <v>0</v>
      </c>
      <c r="K84" s="392"/>
      <c r="L84" s="247">
        <f t="shared" si="59"/>
        <v>0</v>
      </c>
      <c r="M84" s="393"/>
      <c r="N84" s="246">
        <f t="shared" si="60"/>
        <v>0</v>
      </c>
      <c r="O84" s="247">
        <f t="shared" si="61"/>
        <v>0</v>
      </c>
      <c r="P84" s="247">
        <f t="shared" si="62"/>
        <v>0</v>
      </c>
      <c r="Q84" s="240">
        <f t="shared" si="63"/>
        <v>0</v>
      </c>
      <c r="R84" s="251">
        <f t="shared" si="64"/>
        <v>0</v>
      </c>
      <c r="S84" s="251" t="str">
        <f t="shared" si="65"/>
        <v/>
      </c>
      <c r="T84" s="407"/>
    </row>
    <row r="85" spans="1:20" ht="16" thickBot="1">
      <c r="A85" s="219">
        <f t="shared" si="56"/>
        <v>75</v>
      </c>
      <c r="B85" s="189" t="s">
        <v>74</v>
      </c>
      <c r="C85" s="189"/>
      <c r="D85" s="190"/>
      <c r="E85" s="191"/>
      <c r="F85" s="222">
        <f t="shared" ref="F85:Q85" si="66">F22+F39+F80+F83+F84</f>
        <v>3751404.4965610709</v>
      </c>
      <c r="G85" s="225">
        <f t="shared" si="66"/>
        <v>0</v>
      </c>
      <c r="H85" s="225">
        <f t="shared" si="66"/>
        <v>3751404.4965610709</v>
      </c>
      <c r="I85" s="193">
        <f t="shared" si="66"/>
        <v>0</v>
      </c>
      <c r="J85" s="222">
        <f t="shared" si="66"/>
        <v>1713800.583360787</v>
      </c>
      <c r="K85" s="225">
        <f t="shared" si="66"/>
        <v>0</v>
      </c>
      <c r="L85" s="225">
        <f t="shared" si="66"/>
        <v>1713800.583360787</v>
      </c>
      <c r="M85" s="193">
        <f t="shared" si="66"/>
        <v>0</v>
      </c>
      <c r="N85" s="222">
        <f t="shared" si="66"/>
        <v>5465205.0799218584</v>
      </c>
      <c r="O85" s="225">
        <f t="shared" si="66"/>
        <v>0</v>
      </c>
      <c r="P85" s="225">
        <f t="shared" si="66"/>
        <v>5465205.0799218584</v>
      </c>
      <c r="Q85" s="193">
        <f t="shared" si="66"/>
        <v>0</v>
      </c>
      <c r="R85" s="194">
        <f t="shared" si="64"/>
        <v>1</v>
      </c>
      <c r="S85" s="194">
        <f t="shared" si="65"/>
        <v>0</v>
      </c>
      <c r="T85" s="415"/>
    </row>
    <row r="86" spans="1:20" ht="17.25" customHeight="1" thickTop="1">
      <c r="A86" s="227">
        <f t="shared" si="56"/>
        <v>76</v>
      </c>
      <c r="B86" s="864" t="s">
        <v>92</v>
      </c>
      <c r="C86" s="864"/>
      <c r="D86" s="865"/>
      <c r="E86" s="228"/>
      <c r="F86" s="276"/>
      <c r="G86" s="277"/>
      <c r="H86" s="277"/>
      <c r="I86" s="278"/>
      <c r="J86" s="276"/>
      <c r="K86" s="277"/>
      <c r="L86" s="277"/>
      <c r="M86" s="279"/>
      <c r="N86" s="276"/>
      <c r="O86" s="277"/>
      <c r="P86" s="277"/>
      <c r="Q86" s="280"/>
      <c r="R86" s="281"/>
      <c r="S86" s="281"/>
      <c r="T86" s="416"/>
    </row>
    <row r="87" spans="1:20" ht="22.5" customHeight="1">
      <c r="A87" s="234">
        <f t="shared" si="56"/>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6"/>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6"/>
        <v>79</v>
      </c>
      <c r="B89" s="287"/>
      <c r="C89" s="288"/>
      <c r="D89" s="231" t="s">
        <v>27</v>
      </c>
      <c r="E89" s="245">
        <v>111</v>
      </c>
      <c r="F89" s="290">
        <f>'Annual Budget '!G89</f>
        <v>90125.041200000007</v>
      </c>
      <c r="G89" s="398"/>
      <c r="H89" s="291">
        <f t="shared" ref="H89:H96" si="67">SUM(F89:G89)</f>
        <v>90125.041200000007</v>
      </c>
      <c r="I89" s="393"/>
      <c r="J89" s="290">
        <f>'Annual Budget '!I89</f>
        <v>0</v>
      </c>
      <c r="K89" s="398"/>
      <c r="L89" s="291">
        <f t="shared" ref="L89:L96" si="68">SUM(J89:K89)</f>
        <v>0</v>
      </c>
      <c r="M89" s="399"/>
      <c r="N89" s="290">
        <f t="shared" ref="N89" si="69">F89+J89</f>
        <v>90125.041200000007</v>
      </c>
      <c r="O89" s="291">
        <f t="shared" ref="O89" si="70">K89+G89</f>
        <v>0</v>
      </c>
      <c r="P89" s="291">
        <f t="shared" ref="P89" si="71">SUM(N89:O89)</f>
        <v>90125.041200000007</v>
      </c>
      <c r="Q89" s="289">
        <f t="shared" ref="Q89" si="72">M89+I89</f>
        <v>0</v>
      </c>
      <c r="R89" s="251">
        <f>P89/$P$156</f>
        <v>1.7532849526131395E-2</v>
      </c>
      <c r="S89" s="251">
        <f t="shared" ref="S89:S97" si="73">IFERROR(Q89/P89,"")</f>
        <v>0</v>
      </c>
      <c r="T89" s="407"/>
    </row>
    <row r="90" spans="1:20" ht="15" customHeight="1">
      <c r="A90" s="243">
        <f t="shared" si="56"/>
        <v>80</v>
      </c>
      <c r="B90" s="287"/>
      <c r="C90" s="288"/>
      <c r="D90" s="231" t="s">
        <v>28</v>
      </c>
      <c r="E90" s="245">
        <v>111</v>
      </c>
      <c r="F90" s="290">
        <f>'Annual Budget '!G90</f>
        <v>0</v>
      </c>
      <c r="G90" s="398"/>
      <c r="H90" s="291">
        <f t="shared" si="67"/>
        <v>0</v>
      </c>
      <c r="I90" s="393"/>
      <c r="J90" s="290">
        <f>'Annual Budget '!I90</f>
        <v>0</v>
      </c>
      <c r="K90" s="398"/>
      <c r="L90" s="291">
        <f t="shared" si="68"/>
        <v>0</v>
      </c>
      <c r="M90" s="399"/>
      <c r="N90" s="290">
        <f t="shared" ref="N90:N96" si="74">F90+J90</f>
        <v>0</v>
      </c>
      <c r="O90" s="291">
        <f t="shared" ref="O90:O96" si="75">K90+G90</f>
        <v>0</v>
      </c>
      <c r="P90" s="291">
        <f t="shared" ref="P90:P96" si="76">SUM(N90:O90)</f>
        <v>0</v>
      </c>
      <c r="Q90" s="289">
        <f t="shared" ref="Q90:Q96" si="77">M90+I90</f>
        <v>0</v>
      </c>
      <c r="R90" s="251">
        <f t="shared" ref="R90:R97" si="78">P90/$P$156</f>
        <v>0</v>
      </c>
      <c r="S90" s="251" t="str">
        <f t="shared" si="73"/>
        <v/>
      </c>
      <c r="T90" s="407"/>
    </row>
    <row r="91" spans="1:20" ht="15" customHeight="1">
      <c r="A91" s="243">
        <f t="shared" si="56"/>
        <v>81</v>
      </c>
      <c r="B91" s="287"/>
      <c r="C91" s="288"/>
      <c r="D91" s="231" t="s">
        <v>196</v>
      </c>
      <c r="E91" s="245">
        <v>111</v>
      </c>
      <c r="F91" s="290">
        <f>'Annual Budget '!G91</f>
        <v>157301</v>
      </c>
      <c r="G91" s="398"/>
      <c r="H91" s="291">
        <f t="shared" si="67"/>
        <v>157301</v>
      </c>
      <c r="I91" s="393"/>
      <c r="J91" s="290">
        <f>'Annual Budget '!I91</f>
        <v>328815</v>
      </c>
      <c r="K91" s="398"/>
      <c r="L91" s="291">
        <f t="shared" si="68"/>
        <v>328815</v>
      </c>
      <c r="M91" s="399"/>
      <c r="N91" s="290">
        <f t="shared" si="74"/>
        <v>486116</v>
      </c>
      <c r="O91" s="291">
        <f t="shared" si="75"/>
        <v>0</v>
      </c>
      <c r="P91" s="291">
        <f t="shared" si="76"/>
        <v>486116</v>
      </c>
      <c r="Q91" s="289">
        <f t="shared" si="77"/>
        <v>0</v>
      </c>
      <c r="R91" s="251">
        <f t="shared" si="78"/>
        <v>9.4568596771358676E-2</v>
      </c>
      <c r="S91" s="251">
        <f t="shared" si="73"/>
        <v>0</v>
      </c>
      <c r="T91" s="407"/>
    </row>
    <row r="92" spans="1:20" ht="15" customHeight="1">
      <c r="A92" s="243">
        <f t="shared" si="56"/>
        <v>82</v>
      </c>
      <c r="B92" s="287"/>
      <c r="C92" s="244" t="s">
        <v>5</v>
      </c>
      <c r="D92" s="231"/>
      <c r="E92" s="245">
        <v>112</v>
      </c>
      <c r="F92" s="290">
        <f>'Annual Budget '!G92</f>
        <v>680606</v>
      </c>
      <c r="G92" s="398"/>
      <c r="H92" s="291">
        <f t="shared" si="67"/>
        <v>680606</v>
      </c>
      <c r="I92" s="393"/>
      <c r="J92" s="290">
        <f>'Annual Budget '!I92</f>
        <v>796350</v>
      </c>
      <c r="K92" s="398"/>
      <c r="L92" s="291">
        <f t="shared" si="68"/>
        <v>796350</v>
      </c>
      <c r="M92" s="399"/>
      <c r="N92" s="290">
        <f t="shared" si="74"/>
        <v>1476956</v>
      </c>
      <c r="O92" s="291">
        <f t="shared" si="75"/>
        <v>0</v>
      </c>
      <c r="P92" s="291">
        <f t="shared" si="76"/>
        <v>1476956</v>
      </c>
      <c r="Q92" s="289">
        <f t="shared" si="77"/>
        <v>0</v>
      </c>
      <c r="R92" s="251">
        <f t="shared" si="78"/>
        <v>0.28732577494474332</v>
      </c>
      <c r="S92" s="251">
        <f t="shared" si="73"/>
        <v>0</v>
      </c>
      <c r="T92" s="407"/>
    </row>
    <row r="93" spans="1:20" ht="15" customHeight="1">
      <c r="A93" s="243">
        <f t="shared" si="56"/>
        <v>83</v>
      </c>
      <c r="B93" s="244"/>
      <c r="C93" s="244" t="s">
        <v>29</v>
      </c>
      <c r="D93" s="231"/>
      <c r="E93" s="245">
        <v>113</v>
      </c>
      <c r="F93" s="290">
        <f>'Annual Budget '!G93</f>
        <v>0</v>
      </c>
      <c r="G93" s="398"/>
      <c r="H93" s="291">
        <f t="shared" si="67"/>
        <v>0</v>
      </c>
      <c r="I93" s="393"/>
      <c r="J93" s="290">
        <f>'Annual Budget '!I93</f>
        <v>55336</v>
      </c>
      <c r="K93" s="398"/>
      <c r="L93" s="291">
        <f t="shared" si="68"/>
        <v>55336</v>
      </c>
      <c r="M93" s="399"/>
      <c r="N93" s="290">
        <f t="shared" si="74"/>
        <v>55336</v>
      </c>
      <c r="O93" s="291">
        <f t="shared" si="75"/>
        <v>0</v>
      </c>
      <c r="P93" s="291">
        <f t="shared" si="76"/>
        <v>55336</v>
      </c>
      <c r="Q93" s="289">
        <f t="shared" si="77"/>
        <v>0</v>
      </c>
      <c r="R93" s="251">
        <f t="shared" si="78"/>
        <v>1.0765018783458894E-2</v>
      </c>
      <c r="S93" s="251">
        <f t="shared" si="73"/>
        <v>0</v>
      </c>
      <c r="T93" s="407"/>
    </row>
    <row r="94" spans="1:20" ht="15" customHeight="1">
      <c r="A94" s="243">
        <f t="shared" si="56"/>
        <v>84</v>
      </c>
      <c r="B94" s="244"/>
      <c r="C94" s="244" t="s">
        <v>31</v>
      </c>
      <c r="D94" s="231"/>
      <c r="E94" s="245">
        <v>114</v>
      </c>
      <c r="F94" s="290">
        <f>'Annual Budget '!G94</f>
        <v>155222</v>
      </c>
      <c r="G94" s="398"/>
      <c r="H94" s="291">
        <f t="shared" si="67"/>
        <v>155222</v>
      </c>
      <c r="I94" s="393"/>
      <c r="J94" s="290">
        <f>'Annual Budget '!I94</f>
        <v>0</v>
      </c>
      <c r="K94" s="398"/>
      <c r="L94" s="291">
        <f t="shared" si="68"/>
        <v>0</v>
      </c>
      <c r="M94" s="399"/>
      <c r="N94" s="290">
        <f t="shared" si="74"/>
        <v>155222</v>
      </c>
      <c r="O94" s="291">
        <f t="shared" si="75"/>
        <v>0</v>
      </c>
      <c r="P94" s="291">
        <f t="shared" si="76"/>
        <v>155222</v>
      </c>
      <c r="Q94" s="289">
        <f t="shared" si="77"/>
        <v>0</v>
      </c>
      <c r="R94" s="251">
        <f t="shared" si="78"/>
        <v>3.0196757004591162E-2</v>
      </c>
      <c r="S94" s="251">
        <f t="shared" si="73"/>
        <v>0</v>
      </c>
      <c r="T94" s="407"/>
    </row>
    <row r="95" spans="1:20" ht="15" customHeight="1">
      <c r="A95" s="243">
        <f t="shared" si="56"/>
        <v>85</v>
      </c>
      <c r="B95" s="244"/>
      <c r="C95" s="244" t="s">
        <v>34</v>
      </c>
      <c r="D95" s="231"/>
      <c r="E95" s="245">
        <v>116</v>
      </c>
      <c r="F95" s="290">
        <f>'Annual Budget '!G95</f>
        <v>0</v>
      </c>
      <c r="G95" s="398"/>
      <c r="H95" s="291">
        <f t="shared" si="67"/>
        <v>0</v>
      </c>
      <c r="I95" s="393"/>
      <c r="J95" s="290">
        <f>'Annual Budget '!I95</f>
        <v>0</v>
      </c>
      <c r="K95" s="398"/>
      <c r="L95" s="291">
        <f t="shared" si="68"/>
        <v>0</v>
      </c>
      <c r="M95" s="399"/>
      <c r="N95" s="290">
        <f t="shared" si="74"/>
        <v>0</v>
      </c>
      <c r="O95" s="291">
        <f t="shared" si="75"/>
        <v>0</v>
      </c>
      <c r="P95" s="291">
        <f t="shared" si="76"/>
        <v>0</v>
      </c>
      <c r="Q95" s="289">
        <f t="shared" si="77"/>
        <v>0</v>
      </c>
      <c r="R95" s="251">
        <f t="shared" si="78"/>
        <v>0</v>
      </c>
      <c r="S95" s="251" t="str">
        <f t="shared" si="73"/>
        <v/>
      </c>
      <c r="T95" s="407"/>
    </row>
    <row r="96" spans="1:20" ht="15" customHeight="1">
      <c r="A96" s="243">
        <f t="shared" si="56"/>
        <v>86</v>
      </c>
      <c r="B96" s="244"/>
      <c r="C96" s="288" t="s">
        <v>197</v>
      </c>
      <c r="D96" s="231"/>
      <c r="E96" s="245" t="s">
        <v>95</v>
      </c>
      <c r="F96" s="290">
        <f>'Annual Budget '!G96</f>
        <v>35000</v>
      </c>
      <c r="G96" s="398"/>
      <c r="H96" s="291">
        <f t="shared" si="67"/>
        <v>35000</v>
      </c>
      <c r="I96" s="393"/>
      <c r="J96" s="290">
        <f>'Annual Budget '!I96</f>
        <v>88300</v>
      </c>
      <c r="K96" s="398"/>
      <c r="L96" s="291">
        <f t="shared" si="68"/>
        <v>88300</v>
      </c>
      <c r="M96" s="399"/>
      <c r="N96" s="290">
        <f t="shared" si="74"/>
        <v>123300</v>
      </c>
      <c r="O96" s="291">
        <f t="shared" si="75"/>
        <v>0</v>
      </c>
      <c r="P96" s="291">
        <f t="shared" si="76"/>
        <v>123300</v>
      </c>
      <c r="Q96" s="289">
        <f t="shared" si="77"/>
        <v>0</v>
      </c>
      <c r="R96" s="251">
        <f t="shared" si="78"/>
        <v>2.3986678039621255E-2</v>
      </c>
      <c r="S96" s="251">
        <f t="shared" si="73"/>
        <v>0</v>
      </c>
      <c r="T96" s="407"/>
    </row>
    <row r="97" spans="1:20" ht="15" customHeight="1">
      <c r="A97" s="256">
        <f t="shared" si="56"/>
        <v>87</v>
      </c>
      <c r="B97" s="257"/>
      <c r="C97" s="257"/>
      <c r="D97" s="292" t="s">
        <v>76</v>
      </c>
      <c r="E97" s="293" t="s">
        <v>6</v>
      </c>
      <c r="F97" s="294">
        <f>SUM(F89:F96)</f>
        <v>1118254.0411999999</v>
      </c>
      <c r="G97" s="295">
        <f t="shared" ref="G97:Q97" si="79">SUM(G89:G96)</f>
        <v>0</v>
      </c>
      <c r="H97" s="295">
        <f t="shared" si="79"/>
        <v>1118254.0411999999</v>
      </c>
      <c r="I97" s="296">
        <f t="shared" si="79"/>
        <v>0</v>
      </c>
      <c r="J97" s="294">
        <f t="shared" si="79"/>
        <v>1268801</v>
      </c>
      <c r="K97" s="295">
        <f t="shared" si="79"/>
        <v>0</v>
      </c>
      <c r="L97" s="295">
        <f t="shared" si="79"/>
        <v>1268801</v>
      </c>
      <c r="M97" s="296">
        <f t="shared" si="79"/>
        <v>0</v>
      </c>
      <c r="N97" s="294">
        <f t="shared" si="79"/>
        <v>2387055.0411999999</v>
      </c>
      <c r="O97" s="295">
        <f t="shared" si="79"/>
        <v>0</v>
      </c>
      <c r="P97" s="295">
        <f t="shared" si="79"/>
        <v>2387055.0411999999</v>
      </c>
      <c r="Q97" s="297">
        <f t="shared" si="79"/>
        <v>0</v>
      </c>
      <c r="R97" s="263">
        <f t="shared" si="78"/>
        <v>0.46437567506990468</v>
      </c>
      <c r="S97" s="263">
        <f t="shared" si="73"/>
        <v>0</v>
      </c>
      <c r="T97" s="408"/>
    </row>
    <row r="98" spans="1:20" ht="17.25" customHeight="1">
      <c r="A98" s="234">
        <f t="shared" si="56"/>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6"/>
        <v>89</v>
      </c>
      <c r="B99" s="244"/>
      <c r="C99" s="244" t="s">
        <v>32</v>
      </c>
      <c r="D99" s="231"/>
      <c r="E99" s="245">
        <v>210</v>
      </c>
      <c r="F99" s="290">
        <f>'Annual Budget '!G99</f>
        <v>149296.84375</v>
      </c>
      <c r="G99" s="398"/>
      <c r="H99" s="291">
        <f t="shared" ref="H99:H105" si="80">SUM(F99:G99)</f>
        <v>149296.84375</v>
      </c>
      <c r="I99" s="393"/>
      <c r="J99" s="290">
        <f>'Annual Budget '!I99</f>
        <v>25000</v>
      </c>
      <c r="K99" s="398"/>
      <c r="L99" s="291">
        <f t="shared" ref="L99:L105" si="81">SUM(J99:K99)</f>
        <v>25000</v>
      </c>
      <c r="M99" s="399"/>
      <c r="N99" s="290">
        <f t="shared" ref="N99:N105" si="82">F99+J99</f>
        <v>174296.84375</v>
      </c>
      <c r="O99" s="291">
        <f t="shared" ref="O99:O105" si="83">K99+G99</f>
        <v>0</v>
      </c>
      <c r="P99" s="291">
        <f t="shared" ref="P99:P105" si="84">SUM(N99:O99)</f>
        <v>174296.84375</v>
      </c>
      <c r="Q99" s="289">
        <f t="shared" ref="Q99:Q105" si="85">M99+I99</f>
        <v>0</v>
      </c>
      <c r="R99" s="251">
        <f t="shared" ref="R99:R106" si="86">P99/$P$156</f>
        <v>3.3907561024764166E-2</v>
      </c>
      <c r="S99" s="251">
        <f t="shared" ref="S99:S106" si="87">IFERROR(Q99/P99,"")</f>
        <v>0</v>
      </c>
      <c r="T99" s="407"/>
    </row>
    <row r="100" spans="1:20" ht="15" customHeight="1">
      <c r="A100" s="243">
        <f t="shared" si="56"/>
        <v>90</v>
      </c>
      <c r="B100" s="244"/>
      <c r="C100" s="244" t="s">
        <v>7</v>
      </c>
      <c r="D100" s="231"/>
      <c r="E100" s="245">
        <v>220</v>
      </c>
      <c r="F100" s="290">
        <f>'Annual Budget '!G100</f>
        <v>112997.41255439998</v>
      </c>
      <c r="G100" s="398"/>
      <c r="H100" s="291">
        <f t="shared" si="80"/>
        <v>112997.41255439998</v>
      </c>
      <c r="I100" s="393"/>
      <c r="J100" s="290">
        <f>'Annual Budget '!I100</f>
        <v>35000</v>
      </c>
      <c r="K100" s="398"/>
      <c r="L100" s="291">
        <f t="shared" si="81"/>
        <v>35000</v>
      </c>
      <c r="M100" s="399"/>
      <c r="N100" s="290">
        <f t="shared" si="82"/>
        <v>147997.41255439998</v>
      </c>
      <c r="O100" s="291">
        <f t="shared" si="83"/>
        <v>0</v>
      </c>
      <c r="P100" s="291">
        <f t="shared" si="84"/>
        <v>147997.41255439998</v>
      </c>
      <c r="Q100" s="289">
        <f t="shared" si="85"/>
        <v>0</v>
      </c>
      <c r="R100" s="251">
        <f t="shared" si="86"/>
        <v>2.8791291854334086E-2</v>
      </c>
      <c r="S100" s="251">
        <f t="shared" si="87"/>
        <v>0</v>
      </c>
      <c r="T100" s="407"/>
    </row>
    <row r="101" spans="1:20" ht="15" customHeight="1">
      <c r="A101" s="243">
        <f t="shared" si="56"/>
        <v>91</v>
      </c>
      <c r="B101" s="244"/>
      <c r="C101" s="244" t="s">
        <v>23</v>
      </c>
      <c r="D101" s="231"/>
      <c r="E101" s="245">
        <v>225</v>
      </c>
      <c r="F101" s="290">
        <f>'Annual Budget '!G101</f>
        <v>19612.298097399995</v>
      </c>
      <c r="G101" s="398"/>
      <c r="H101" s="291">
        <f t="shared" si="80"/>
        <v>19612.298097399995</v>
      </c>
      <c r="I101" s="393"/>
      <c r="J101" s="290">
        <f>'Annual Budget '!I101</f>
        <v>15000</v>
      </c>
      <c r="K101" s="398"/>
      <c r="L101" s="291">
        <f t="shared" si="81"/>
        <v>15000</v>
      </c>
      <c r="M101" s="399"/>
      <c r="N101" s="290">
        <f t="shared" si="82"/>
        <v>34612.298097399995</v>
      </c>
      <c r="O101" s="291">
        <f t="shared" si="83"/>
        <v>0</v>
      </c>
      <c r="P101" s="291">
        <f t="shared" si="84"/>
        <v>34612.298097399995</v>
      </c>
      <c r="Q101" s="289">
        <f t="shared" si="85"/>
        <v>0</v>
      </c>
      <c r="R101" s="251">
        <f t="shared" si="86"/>
        <v>6.7334472885136167E-3</v>
      </c>
      <c r="S101" s="251">
        <f t="shared" si="87"/>
        <v>0</v>
      </c>
      <c r="T101" s="407"/>
    </row>
    <row r="102" spans="1:20" ht="15" customHeight="1">
      <c r="A102" s="243">
        <f t="shared" si="56"/>
        <v>92</v>
      </c>
      <c r="B102" s="244"/>
      <c r="C102" s="244" t="s">
        <v>8</v>
      </c>
      <c r="D102" s="231"/>
      <c r="E102" s="245" t="s">
        <v>116</v>
      </c>
      <c r="F102" s="290">
        <f>'Annual Budget '!G102</f>
        <v>27741.100824000001</v>
      </c>
      <c r="G102" s="398"/>
      <c r="H102" s="291">
        <f t="shared" si="80"/>
        <v>27741.100824000001</v>
      </c>
      <c r="I102" s="393"/>
      <c r="J102" s="290">
        <f>'Annual Budget '!I102</f>
        <v>20000</v>
      </c>
      <c r="K102" s="398"/>
      <c r="L102" s="291">
        <f t="shared" si="81"/>
        <v>20000</v>
      </c>
      <c r="M102" s="399"/>
      <c r="N102" s="290">
        <f t="shared" si="82"/>
        <v>47741.100824000001</v>
      </c>
      <c r="O102" s="291">
        <f t="shared" si="83"/>
        <v>0</v>
      </c>
      <c r="P102" s="291">
        <f t="shared" si="84"/>
        <v>47741.100824000001</v>
      </c>
      <c r="Q102" s="289">
        <f t="shared" si="85"/>
        <v>0</v>
      </c>
      <c r="R102" s="251">
        <f t="shared" si="86"/>
        <v>9.2875135013980939E-3</v>
      </c>
      <c r="S102" s="251">
        <f t="shared" si="87"/>
        <v>0</v>
      </c>
      <c r="T102" s="407"/>
    </row>
    <row r="103" spans="1:20" ht="15" customHeight="1">
      <c r="A103" s="305">
        <f t="shared" si="56"/>
        <v>93</v>
      </c>
      <c r="B103" s="306"/>
      <c r="C103" s="306" t="s">
        <v>9</v>
      </c>
      <c r="D103" s="307"/>
      <c r="E103" s="308">
        <v>250</v>
      </c>
      <c r="F103" s="309">
        <f>'Annual Budget '!G103</f>
        <v>23870.550412000001</v>
      </c>
      <c r="G103" s="400"/>
      <c r="H103" s="310">
        <f t="shared" si="80"/>
        <v>23870.550412000001</v>
      </c>
      <c r="I103" s="401"/>
      <c r="J103" s="309">
        <f>'Annual Budget '!I103</f>
        <v>0</v>
      </c>
      <c r="K103" s="400"/>
      <c r="L103" s="310">
        <f t="shared" si="81"/>
        <v>0</v>
      </c>
      <c r="M103" s="402"/>
      <c r="N103" s="309">
        <f t="shared" si="82"/>
        <v>23870.550412000001</v>
      </c>
      <c r="O103" s="310">
        <f t="shared" si="83"/>
        <v>0</v>
      </c>
      <c r="P103" s="310">
        <f t="shared" si="84"/>
        <v>23870.550412000001</v>
      </c>
      <c r="Q103" s="311">
        <f t="shared" si="85"/>
        <v>0</v>
      </c>
      <c r="R103" s="312">
        <f t="shared" si="86"/>
        <v>4.6437567506990469E-3</v>
      </c>
      <c r="S103" s="312">
        <f t="shared" si="87"/>
        <v>0</v>
      </c>
      <c r="T103" s="417"/>
    </row>
    <row r="104" spans="1:20" ht="15" customHeight="1">
      <c r="A104" s="243">
        <f t="shared" si="56"/>
        <v>94</v>
      </c>
      <c r="B104" s="244"/>
      <c r="C104" s="288" t="s">
        <v>33</v>
      </c>
      <c r="D104" s="231"/>
      <c r="E104" s="245">
        <v>270</v>
      </c>
      <c r="F104" s="290">
        <f>'Annual Budget '!G104</f>
        <v>0</v>
      </c>
      <c r="G104" s="398"/>
      <c r="H104" s="291">
        <f t="shared" si="80"/>
        <v>0</v>
      </c>
      <c r="I104" s="393"/>
      <c r="J104" s="290">
        <f>'Annual Budget '!I104</f>
        <v>0</v>
      </c>
      <c r="K104" s="398"/>
      <c r="L104" s="291">
        <f t="shared" si="81"/>
        <v>0</v>
      </c>
      <c r="M104" s="399"/>
      <c r="N104" s="290">
        <f t="shared" si="82"/>
        <v>0</v>
      </c>
      <c r="O104" s="291">
        <f t="shared" si="83"/>
        <v>0</v>
      </c>
      <c r="P104" s="291">
        <f t="shared" si="84"/>
        <v>0</v>
      </c>
      <c r="Q104" s="289">
        <f t="shared" si="85"/>
        <v>0</v>
      </c>
      <c r="R104" s="251">
        <f t="shared" si="86"/>
        <v>0</v>
      </c>
      <c r="S104" s="251" t="str">
        <f t="shared" si="87"/>
        <v/>
      </c>
      <c r="T104" s="407"/>
    </row>
    <row r="105" spans="1:20" ht="15" customHeight="1">
      <c r="A105" s="305">
        <f t="shared" si="56"/>
        <v>95</v>
      </c>
      <c r="B105" s="306"/>
      <c r="C105" s="313" t="s">
        <v>198</v>
      </c>
      <c r="D105" s="307"/>
      <c r="E105" s="308" t="s">
        <v>10</v>
      </c>
      <c r="F105" s="309">
        <f>'Annual Budget '!G105</f>
        <v>53335.550411999997</v>
      </c>
      <c r="G105" s="400"/>
      <c r="H105" s="310">
        <f t="shared" si="80"/>
        <v>53335.550411999997</v>
      </c>
      <c r="I105" s="401"/>
      <c r="J105" s="309">
        <f>'Annual Budget '!I105</f>
        <v>0</v>
      </c>
      <c r="K105" s="400"/>
      <c r="L105" s="310">
        <f t="shared" si="81"/>
        <v>0</v>
      </c>
      <c r="M105" s="402"/>
      <c r="N105" s="309">
        <f t="shared" si="82"/>
        <v>53335.550411999997</v>
      </c>
      <c r="O105" s="310">
        <f t="shared" si="83"/>
        <v>0</v>
      </c>
      <c r="P105" s="310">
        <f t="shared" si="84"/>
        <v>53335.550411999997</v>
      </c>
      <c r="Q105" s="311">
        <f t="shared" si="85"/>
        <v>0</v>
      </c>
      <c r="R105" s="312">
        <f t="shared" si="86"/>
        <v>1.037585300728818E-2</v>
      </c>
      <c r="S105" s="312">
        <f t="shared" si="87"/>
        <v>0</v>
      </c>
      <c r="T105" s="417"/>
    </row>
    <row r="106" spans="1:20" ht="15" customHeight="1">
      <c r="A106" s="314">
        <f t="shared" si="56"/>
        <v>96</v>
      </c>
      <c r="B106" s="315"/>
      <c r="C106" s="315"/>
      <c r="D106" s="316" t="s">
        <v>78</v>
      </c>
      <c r="E106" s="317" t="s">
        <v>11</v>
      </c>
      <c r="F106" s="318">
        <f>SUM(F99:F105)</f>
        <v>386853.75604979997</v>
      </c>
      <c r="G106" s="319">
        <f t="shared" ref="G106:Q106" si="88">SUM(G99:G105)</f>
        <v>0</v>
      </c>
      <c r="H106" s="319">
        <f t="shared" si="88"/>
        <v>386853.75604979997</v>
      </c>
      <c r="I106" s="320">
        <f t="shared" si="88"/>
        <v>0</v>
      </c>
      <c r="J106" s="318">
        <f t="shared" si="88"/>
        <v>95000</v>
      </c>
      <c r="K106" s="319">
        <f t="shared" si="88"/>
        <v>0</v>
      </c>
      <c r="L106" s="319">
        <f t="shared" si="88"/>
        <v>95000</v>
      </c>
      <c r="M106" s="320">
        <f t="shared" si="88"/>
        <v>0</v>
      </c>
      <c r="N106" s="318">
        <f t="shared" si="88"/>
        <v>481853.75604979997</v>
      </c>
      <c r="O106" s="319">
        <f t="shared" si="88"/>
        <v>0</v>
      </c>
      <c r="P106" s="319">
        <f t="shared" si="88"/>
        <v>481853.75604979997</v>
      </c>
      <c r="Q106" s="321">
        <f t="shared" si="88"/>
        <v>0</v>
      </c>
      <c r="R106" s="322">
        <f t="shared" si="86"/>
        <v>9.373942342699719E-2</v>
      </c>
      <c r="S106" s="322">
        <f t="shared" si="87"/>
        <v>0</v>
      </c>
      <c r="T106" s="418"/>
    </row>
    <row r="107" spans="1:20" ht="17.25" customHeight="1">
      <c r="A107" s="323">
        <f t="shared" si="56"/>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6"/>
        <v>98</v>
      </c>
      <c r="B108" s="306"/>
      <c r="C108" s="306" t="s">
        <v>12</v>
      </c>
      <c r="D108" s="307"/>
      <c r="E108" s="308">
        <v>332</v>
      </c>
      <c r="F108" s="309">
        <f>'Annual Budget '!G108</f>
        <v>12500</v>
      </c>
      <c r="G108" s="400"/>
      <c r="H108" s="310">
        <f t="shared" ref="H108:H111" si="89">SUM(F108:G108)</f>
        <v>12500</v>
      </c>
      <c r="I108" s="401"/>
      <c r="J108" s="309">
        <f>'Annual Budget '!I108</f>
        <v>0</v>
      </c>
      <c r="K108" s="400"/>
      <c r="L108" s="310">
        <f t="shared" ref="L108:L111" si="90">SUM(J108:K108)</f>
        <v>0</v>
      </c>
      <c r="M108" s="402"/>
      <c r="N108" s="309">
        <f t="shared" ref="N108:N111" si="91">F108+J108</f>
        <v>12500</v>
      </c>
      <c r="O108" s="310">
        <f t="shared" ref="O108:O111" si="92">K108+G108</f>
        <v>0</v>
      </c>
      <c r="P108" s="310">
        <f t="shared" ref="P108:P111" si="93">SUM(N108:O108)</f>
        <v>12500</v>
      </c>
      <c r="Q108" s="311">
        <f t="shared" ref="Q108:Q111" si="94">M108+I108</f>
        <v>0</v>
      </c>
      <c r="R108" s="312">
        <f t="shared" ref="R108:R112" si="95">P108/$P$156</f>
        <v>2.431739460626648E-3</v>
      </c>
      <c r="S108" s="312">
        <f t="shared" ref="S108:S112" si="96">IFERROR(Q108/P108,"")</f>
        <v>0</v>
      </c>
      <c r="T108" s="417"/>
    </row>
    <row r="109" spans="1:20" ht="15" customHeight="1">
      <c r="A109" s="305">
        <f t="shared" si="56"/>
        <v>99</v>
      </c>
      <c r="B109" s="306"/>
      <c r="C109" s="306" t="s">
        <v>13</v>
      </c>
      <c r="D109" s="307"/>
      <c r="E109" s="308">
        <v>333</v>
      </c>
      <c r="F109" s="309">
        <f>'Annual Budget '!G109</f>
        <v>17677</v>
      </c>
      <c r="G109" s="400"/>
      <c r="H109" s="310">
        <f t="shared" si="89"/>
        <v>17677</v>
      </c>
      <c r="I109" s="401"/>
      <c r="J109" s="309">
        <f>'Annual Budget '!I109</f>
        <v>0</v>
      </c>
      <c r="K109" s="400"/>
      <c r="L109" s="310">
        <f t="shared" si="90"/>
        <v>0</v>
      </c>
      <c r="M109" s="402"/>
      <c r="N109" s="309">
        <f t="shared" si="91"/>
        <v>17677</v>
      </c>
      <c r="O109" s="310">
        <f t="shared" si="92"/>
        <v>0</v>
      </c>
      <c r="P109" s="310">
        <f t="shared" si="93"/>
        <v>17677</v>
      </c>
      <c r="Q109" s="311">
        <f t="shared" si="94"/>
        <v>0</v>
      </c>
      <c r="R109" s="312">
        <f t="shared" si="95"/>
        <v>3.4388686756397801E-3</v>
      </c>
      <c r="S109" s="312">
        <f t="shared" si="96"/>
        <v>0</v>
      </c>
      <c r="T109" s="417"/>
    </row>
    <row r="110" spans="1:20" ht="15" customHeight="1">
      <c r="A110" s="305">
        <f t="shared" si="56"/>
        <v>100</v>
      </c>
      <c r="B110" s="306"/>
      <c r="C110" s="306" t="s">
        <v>35</v>
      </c>
      <c r="D110" s="307"/>
      <c r="E110" s="308" t="s">
        <v>96</v>
      </c>
      <c r="F110" s="309">
        <f>'Annual Budget '!G110</f>
        <v>0</v>
      </c>
      <c r="G110" s="400"/>
      <c r="H110" s="310">
        <f t="shared" si="89"/>
        <v>0</v>
      </c>
      <c r="I110" s="401"/>
      <c r="J110" s="309">
        <f>'Annual Budget '!I110</f>
        <v>0</v>
      </c>
      <c r="K110" s="400"/>
      <c r="L110" s="310">
        <f t="shared" si="90"/>
        <v>0</v>
      </c>
      <c r="M110" s="402"/>
      <c r="N110" s="309">
        <f t="shared" si="91"/>
        <v>0</v>
      </c>
      <c r="O110" s="310">
        <f t="shared" si="92"/>
        <v>0</v>
      </c>
      <c r="P110" s="310">
        <f t="shared" si="93"/>
        <v>0</v>
      </c>
      <c r="Q110" s="311">
        <f t="shared" si="94"/>
        <v>0</v>
      </c>
      <c r="R110" s="312">
        <f t="shared" si="95"/>
        <v>0</v>
      </c>
      <c r="S110" s="312" t="str">
        <f t="shared" si="96"/>
        <v/>
      </c>
      <c r="T110" s="417"/>
    </row>
    <row r="111" spans="1:20" ht="15" customHeight="1">
      <c r="A111" s="305">
        <f t="shared" si="56"/>
        <v>101</v>
      </c>
      <c r="B111" s="306"/>
      <c r="C111" s="313" t="s">
        <v>199</v>
      </c>
      <c r="D111" s="307"/>
      <c r="E111" s="308" t="s">
        <v>96</v>
      </c>
      <c r="F111" s="309">
        <f>'Annual Budget '!G111</f>
        <v>549205</v>
      </c>
      <c r="G111" s="400"/>
      <c r="H111" s="310">
        <f t="shared" si="89"/>
        <v>549205</v>
      </c>
      <c r="I111" s="401"/>
      <c r="J111" s="309">
        <f>'Annual Budget '!I111</f>
        <v>200000</v>
      </c>
      <c r="K111" s="400"/>
      <c r="L111" s="310">
        <f t="shared" si="90"/>
        <v>200000</v>
      </c>
      <c r="M111" s="402"/>
      <c r="N111" s="309">
        <f t="shared" si="91"/>
        <v>749205</v>
      </c>
      <c r="O111" s="310">
        <f t="shared" si="92"/>
        <v>0</v>
      </c>
      <c r="P111" s="310">
        <f t="shared" si="93"/>
        <v>749205</v>
      </c>
      <c r="Q111" s="311">
        <f t="shared" si="94"/>
        <v>0</v>
      </c>
      <c r="R111" s="312">
        <f t="shared" si="95"/>
        <v>0.14574970900790302</v>
      </c>
      <c r="S111" s="312">
        <f t="shared" si="96"/>
        <v>0</v>
      </c>
      <c r="T111" s="417"/>
    </row>
    <row r="112" spans="1:20" ht="15" customHeight="1">
      <c r="A112" s="314">
        <f t="shared" si="56"/>
        <v>102</v>
      </c>
      <c r="B112" s="315"/>
      <c r="C112" s="315"/>
      <c r="D112" s="316" t="s">
        <v>79</v>
      </c>
      <c r="E112" s="317" t="s">
        <v>14</v>
      </c>
      <c r="F112" s="318">
        <f>SUM(F108:F111)</f>
        <v>579382</v>
      </c>
      <c r="G112" s="319">
        <f t="shared" ref="G112:Q112" si="97">SUM(G108:G111)</f>
        <v>0</v>
      </c>
      <c r="H112" s="319">
        <f t="shared" si="97"/>
        <v>579382</v>
      </c>
      <c r="I112" s="320">
        <f t="shared" si="97"/>
        <v>0</v>
      </c>
      <c r="J112" s="318">
        <f t="shared" si="97"/>
        <v>200000</v>
      </c>
      <c r="K112" s="319">
        <f t="shared" si="97"/>
        <v>0</v>
      </c>
      <c r="L112" s="319">
        <f t="shared" si="97"/>
        <v>200000</v>
      </c>
      <c r="M112" s="320">
        <f t="shared" si="97"/>
        <v>0</v>
      </c>
      <c r="N112" s="318">
        <f t="shared" si="97"/>
        <v>779382</v>
      </c>
      <c r="O112" s="319">
        <f t="shared" si="97"/>
        <v>0</v>
      </c>
      <c r="P112" s="319">
        <f t="shared" si="97"/>
        <v>779382</v>
      </c>
      <c r="Q112" s="321">
        <f t="shared" si="97"/>
        <v>0</v>
      </c>
      <c r="R112" s="322">
        <f t="shared" si="95"/>
        <v>0.15162031714416943</v>
      </c>
      <c r="S112" s="322">
        <f t="shared" si="96"/>
        <v>0</v>
      </c>
      <c r="T112" s="418"/>
    </row>
    <row r="113" spans="1:20" ht="17.25" customHeight="1">
      <c r="A113" s="323">
        <f t="shared" si="56"/>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6"/>
        <v>104</v>
      </c>
      <c r="B114" s="332"/>
      <c r="C114" s="306" t="s">
        <v>24</v>
      </c>
      <c r="D114" s="307"/>
      <c r="E114" s="308">
        <v>411</v>
      </c>
      <c r="F114" s="309">
        <f>'Annual Budget '!G114</f>
        <v>24500</v>
      </c>
      <c r="G114" s="400"/>
      <c r="H114" s="310">
        <f t="shared" ref="H114:H118" si="98">SUM(F114:G114)</f>
        <v>24500</v>
      </c>
      <c r="I114" s="401"/>
      <c r="J114" s="309">
        <f>'Annual Budget '!I114</f>
        <v>0</v>
      </c>
      <c r="K114" s="400"/>
      <c r="L114" s="310">
        <f t="shared" ref="L114:L118" si="99">SUM(J114:K114)</f>
        <v>0</v>
      </c>
      <c r="M114" s="402"/>
      <c r="N114" s="309">
        <f t="shared" ref="N114:N118" si="100">F114+J114</f>
        <v>24500</v>
      </c>
      <c r="O114" s="310">
        <f t="shared" ref="O114:O118" si="101">K114+G114</f>
        <v>0</v>
      </c>
      <c r="P114" s="310">
        <f t="shared" ref="P114:P118" si="102">SUM(N114:O114)</f>
        <v>24500</v>
      </c>
      <c r="Q114" s="311">
        <f t="shared" ref="Q114:Q118" si="103">M114+I114</f>
        <v>0</v>
      </c>
      <c r="R114" s="312">
        <f t="shared" ref="R114:R119" si="104">P114/$P$156</f>
        <v>4.7662093428282298E-3</v>
      </c>
      <c r="S114" s="312">
        <f t="shared" ref="S114:S119" si="105">IFERROR(Q114/P114,"")</f>
        <v>0</v>
      </c>
      <c r="T114" s="417"/>
    </row>
    <row r="115" spans="1:20" ht="15" customHeight="1">
      <c r="A115" s="305">
        <f t="shared" si="56"/>
        <v>105</v>
      </c>
      <c r="B115" s="332"/>
      <c r="C115" s="333" t="s">
        <v>114</v>
      </c>
      <c r="D115" s="307"/>
      <c r="E115" s="308">
        <v>441</v>
      </c>
      <c r="F115" s="309">
        <f>'Annual Budget '!G115</f>
        <v>0</v>
      </c>
      <c r="G115" s="400"/>
      <c r="H115" s="310">
        <f t="shared" si="98"/>
        <v>0</v>
      </c>
      <c r="I115" s="401"/>
      <c r="J115" s="309">
        <f>'Annual Budget '!I115</f>
        <v>0</v>
      </c>
      <c r="K115" s="400"/>
      <c r="L115" s="310">
        <f t="shared" si="99"/>
        <v>0</v>
      </c>
      <c r="M115" s="402"/>
      <c r="N115" s="309">
        <f t="shared" si="100"/>
        <v>0</v>
      </c>
      <c r="O115" s="310">
        <f t="shared" si="101"/>
        <v>0</v>
      </c>
      <c r="P115" s="310">
        <f t="shared" si="102"/>
        <v>0</v>
      </c>
      <c r="Q115" s="311">
        <f t="shared" si="103"/>
        <v>0</v>
      </c>
      <c r="R115" s="312">
        <f t="shared" si="104"/>
        <v>0</v>
      </c>
      <c r="S115" s="312" t="str">
        <f t="shared" si="105"/>
        <v/>
      </c>
      <c r="T115" s="417"/>
    </row>
    <row r="116" spans="1:20" ht="15" customHeight="1">
      <c r="A116" s="305">
        <f t="shared" si="56"/>
        <v>106</v>
      </c>
      <c r="B116" s="332"/>
      <c r="C116" s="306" t="s">
        <v>97</v>
      </c>
      <c r="D116" s="307"/>
      <c r="E116" s="308">
        <v>442</v>
      </c>
      <c r="F116" s="309">
        <f>'Annual Budget '!G116</f>
        <v>22070</v>
      </c>
      <c r="G116" s="400"/>
      <c r="H116" s="310">
        <f t="shared" si="98"/>
        <v>22070</v>
      </c>
      <c r="I116" s="401"/>
      <c r="J116" s="309">
        <f>'Annual Budget '!I116</f>
        <v>0</v>
      </c>
      <c r="K116" s="400"/>
      <c r="L116" s="310">
        <f t="shared" si="99"/>
        <v>0</v>
      </c>
      <c r="M116" s="402"/>
      <c r="N116" s="309">
        <f t="shared" si="100"/>
        <v>22070</v>
      </c>
      <c r="O116" s="310">
        <f t="shared" si="101"/>
        <v>0</v>
      </c>
      <c r="P116" s="310">
        <f t="shared" si="102"/>
        <v>22070</v>
      </c>
      <c r="Q116" s="311">
        <f t="shared" si="103"/>
        <v>0</v>
      </c>
      <c r="R116" s="312">
        <f t="shared" si="104"/>
        <v>4.2934791916824097E-3</v>
      </c>
      <c r="S116" s="312">
        <f t="shared" si="105"/>
        <v>0</v>
      </c>
      <c r="T116" s="417"/>
    </row>
    <row r="117" spans="1:20" ht="15" customHeight="1">
      <c r="A117" s="305">
        <f t="shared" si="56"/>
        <v>107</v>
      </c>
      <c r="B117" s="332"/>
      <c r="C117" s="306" t="s">
        <v>36</v>
      </c>
      <c r="D117" s="307"/>
      <c r="E117" s="308">
        <v>430</v>
      </c>
      <c r="F117" s="309">
        <f>'Annual Budget '!G117</f>
        <v>81000</v>
      </c>
      <c r="G117" s="400"/>
      <c r="H117" s="310">
        <f t="shared" si="98"/>
        <v>81000</v>
      </c>
      <c r="I117" s="401"/>
      <c r="J117" s="309">
        <f>'Annual Budget '!I117</f>
        <v>0</v>
      </c>
      <c r="K117" s="400"/>
      <c r="L117" s="310">
        <f t="shared" si="99"/>
        <v>0</v>
      </c>
      <c r="M117" s="402"/>
      <c r="N117" s="309">
        <f t="shared" si="100"/>
        <v>81000</v>
      </c>
      <c r="O117" s="310">
        <f t="shared" si="101"/>
        <v>0</v>
      </c>
      <c r="P117" s="310">
        <f t="shared" si="102"/>
        <v>81000</v>
      </c>
      <c r="Q117" s="311">
        <f t="shared" si="103"/>
        <v>0</v>
      </c>
      <c r="R117" s="312">
        <f t="shared" si="104"/>
        <v>1.5757671704860678E-2</v>
      </c>
      <c r="S117" s="312">
        <f t="shared" si="105"/>
        <v>0</v>
      </c>
      <c r="T117" s="417"/>
    </row>
    <row r="118" spans="1:20" ht="15" customHeight="1">
      <c r="A118" s="305">
        <f t="shared" si="56"/>
        <v>108</v>
      </c>
      <c r="B118" s="306"/>
      <c r="C118" s="313" t="s">
        <v>200</v>
      </c>
      <c r="D118" s="307"/>
      <c r="E118" s="334" t="s">
        <v>98</v>
      </c>
      <c r="F118" s="309">
        <f>'Annual Budget '!G118</f>
        <v>78100</v>
      </c>
      <c r="G118" s="400"/>
      <c r="H118" s="310">
        <f t="shared" si="98"/>
        <v>78100</v>
      </c>
      <c r="I118" s="401"/>
      <c r="J118" s="309">
        <f>'Annual Budget '!I118</f>
        <v>0</v>
      </c>
      <c r="K118" s="400"/>
      <c r="L118" s="310">
        <f t="shared" si="99"/>
        <v>0</v>
      </c>
      <c r="M118" s="402"/>
      <c r="N118" s="309">
        <f t="shared" si="100"/>
        <v>78100</v>
      </c>
      <c r="O118" s="310">
        <f t="shared" si="101"/>
        <v>0</v>
      </c>
      <c r="P118" s="310">
        <f t="shared" si="102"/>
        <v>78100</v>
      </c>
      <c r="Q118" s="311">
        <f t="shared" si="103"/>
        <v>0</v>
      </c>
      <c r="R118" s="312">
        <f t="shared" si="104"/>
        <v>1.5193508149995295E-2</v>
      </c>
      <c r="S118" s="312">
        <f t="shared" si="105"/>
        <v>0</v>
      </c>
      <c r="T118" s="417"/>
    </row>
    <row r="119" spans="1:20" ht="15" customHeight="1" thickBot="1">
      <c r="A119" s="219">
        <f t="shared" si="56"/>
        <v>109</v>
      </c>
      <c r="B119" s="195"/>
      <c r="C119" s="195" t="s">
        <v>82</v>
      </c>
      <c r="D119" s="196"/>
      <c r="E119" s="197">
        <v>400</v>
      </c>
      <c r="F119" s="223">
        <f>SUM(F114:F118)</f>
        <v>205670</v>
      </c>
      <c r="G119" s="226">
        <f t="shared" ref="G119:Q119" si="106">SUM(G114:G118)</f>
        <v>0</v>
      </c>
      <c r="H119" s="226">
        <f t="shared" si="106"/>
        <v>205670</v>
      </c>
      <c r="I119" s="199">
        <f t="shared" si="106"/>
        <v>0</v>
      </c>
      <c r="J119" s="223">
        <f t="shared" si="106"/>
        <v>0</v>
      </c>
      <c r="K119" s="226">
        <f t="shared" si="106"/>
        <v>0</v>
      </c>
      <c r="L119" s="226">
        <f t="shared" si="106"/>
        <v>0</v>
      </c>
      <c r="M119" s="199">
        <f t="shared" si="106"/>
        <v>0</v>
      </c>
      <c r="N119" s="223">
        <f t="shared" si="106"/>
        <v>205670</v>
      </c>
      <c r="O119" s="226">
        <f t="shared" si="106"/>
        <v>0</v>
      </c>
      <c r="P119" s="226">
        <f t="shared" si="106"/>
        <v>205670</v>
      </c>
      <c r="Q119" s="198">
        <f t="shared" si="106"/>
        <v>0</v>
      </c>
      <c r="R119" s="194">
        <f t="shared" si="104"/>
        <v>4.0010868389366613E-2</v>
      </c>
      <c r="S119" s="194">
        <f t="shared" si="105"/>
        <v>0</v>
      </c>
      <c r="T119" s="415"/>
    </row>
    <row r="120" spans="1:20" ht="17.25" customHeight="1" thickTop="1">
      <c r="A120" s="268">
        <f t="shared" si="56"/>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6"/>
        <v>111</v>
      </c>
      <c r="B121" s="302"/>
      <c r="C121" s="288" t="s">
        <v>15</v>
      </c>
      <c r="D121" s="231"/>
      <c r="E121" s="245" t="s">
        <v>16</v>
      </c>
      <c r="F121" s="290">
        <f>'Annual Budget '!G121</f>
        <v>301360</v>
      </c>
      <c r="G121" s="398"/>
      <c r="H121" s="291">
        <f t="shared" ref="H121:H129" si="107">SUM(F121:G121)</f>
        <v>301360</v>
      </c>
      <c r="I121" s="393"/>
      <c r="J121" s="290">
        <f>'Annual Budget '!I121</f>
        <v>50000</v>
      </c>
      <c r="K121" s="398"/>
      <c r="L121" s="291">
        <f t="shared" ref="L121:L129" si="108">SUM(J121:K121)</f>
        <v>50000</v>
      </c>
      <c r="M121" s="399"/>
      <c r="N121" s="290">
        <f t="shared" ref="N121:N129" si="109">F121+J121</f>
        <v>351360</v>
      </c>
      <c r="O121" s="291">
        <f t="shared" ref="O121:O129" si="110">K121+G121</f>
        <v>0</v>
      </c>
      <c r="P121" s="291">
        <f t="shared" ref="P121:P129" si="111">SUM(N121:O121)</f>
        <v>351360</v>
      </c>
      <c r="Q121" s="289">
        <f t="shared" ref="Q121:Q129" si="112">M121+I121</f>
        <v>0</v>
      </c>
      <c r="R121" s="251">
        <f t="shared" ref="R121:R130" si="113">P121/$P$156</f>
        <v>6.8353278150862312E-2</v>
      </c>
      <c r="S121" s="251">
        <f t="shared" ref="S121:S130" si="114">IFERROR(Q121/P121,"")</f>
        <v>0</v>
      </c>
      <c r="T121" s="407"/>
    </row>
    <row r="122" spans="1:20" ht="15" customHeight="1">
      <c r="A122" s="243">
        <f t="shared" si="56"/>
        <v>112</v>
      </c>
      <c r="B122" s="302"/>
      <c r="C122" s="288" t="s">
        <v>146</v>
      </c>
      <c r="D122" s="231"/>
      <c r="E122" s="245">
        <v>522</v>
      </c>
      <c r="F122" s="290">
        <f>'Annual Budget '!G122</f>
        <v>26650</v>
      </c>
      <c r="G122" s="398"/>
      <c r="H122" s="291">
        <f t="shared" si="107"/>
        <v>26650</v>
      </c>
      <c r="I122" s="393"/>
      <c r="J122" s="290">
        <f>'Annual Budget '!I122</f>
        <v>0</v>
      </c>
      <c r="K122" s="398"/>
      <c r="L122" s="291">
        <f t="shared" si="108"/>
        <v>0</v>
      </c>
      <c r="M122" s="399"/>
      <c r="N122" s="290">
        <f t="shared" si="109"/>
        <v>26650</v>
      </c>
      <c r="O122" s="291">
        <f t="shared" si="110"/>
        <v>0</v>
      </c>
      <c r="P122" s="291">
        <f t="shared" si="111"/>
        <v>26650</v>
      </c>
      <c r="Q122" s="289">
        <f t="shared" si="112"/>
        <v>0</v>
      </c>
      <c r="R122" s="251">
        <f t="shared" si="113"/>
        <v>5.1844685300560132E-3</v>
      </c>
      <c r="S122" s="251">
        <f t="shared" si="114"/>
        <v>0</v>
      </c>
      <c r="T122" s="407"/>
    </row>
    <row r="123" spans="1:20" ht="15" customHeight="1">
      <c r="A123" s="243">
        <f t="shared" si="56"/>
        <v>113</v>
      </c>
      <c r="B123" s="302"/>
      <c r="C123" s="288" t="s">
        <v>147</v>
      </c>
      <c r="D123" s="231"/>
      <c r="E123" s="245">
        <v>521</v>
      </c>
      <c r="F123" s="290">
        <f>'Annual Budget '!G123</f>
        <v>51000</v>
      </c>
      <c r="G123" s="398"/>
      <c r="H123" s="291">
        <f t="shared" si="107"/>
        <v>51000</v>
      </c>
      <c r="I123" s="393"/>
      <c r="J123" s="290">
        <f>'Annual Budget '!I123</f>
        <v>0</v>
      </c>
      <c r="K123" s="398"/>
      <c r="L123" s="291">
        <f t="shared" si="108"/>
        <v>0</v>
      </c>
      <c r="M123" s="399"/>
      <c r="N123" s="290">
        <f t="shared" si="109"/>
        <v>51000</v>
      </c>
      <c r="O123" s="291">
        <f t="shared" si="110"/>
        <v>0</v>
      </c>
      <c r="P123" s="291">
        <f t="shared" si="111"/>
        <v>51000</v>
      </c>
      <c r="Q123" s="289">
        <f t="shared" si="112"/>
        <v>0</v>
      </c>
      <c r="R123" s="251">
        <f t="shared" si="113"/>
        <v>9.9214969993567225E-3</v>
      </c>
      <c r="S123" s="251">
        <f t="shared" si="114"/>
        <v>0</v>
      </c>
      <c r="T123" s="407"/>
    </row>
    <row r="124" spans="1:20" ht="15" customHeight="1">
      <c r="A124" s="243">
        <f t="shared" si="56"/>
        <v>114</v>
      </c>
      <c r="B124" s="302"/>
      <c r="C124" s="288" t="s">
        <v>148</v>
      </c>
      <c r="D124" s="231"/>
      <c r="E124" s="245">
        <v>523</v>
      </c>
      <c r="F124" s="290">
        <f>'Annual Budget '!G124</f>
        <v>0</v>
      </c>
      <c r="G124" s="398"/>
      <c r="H124" s="291">
        <f t="shared" si="107"/>
        <v>0</v>
      </c>
      <c r="I124" s="393"/>
      <c r="J124" s="290">
        <f>'Annual Budget '!I124</f>
        <v>0</v>
      </c>
      <c r="K124" s="398"/>
      <c r="L124" s="291">
        <f t="shared" si="108"/>
        <v>0</v>
      </c>
      <c r="M124" s="399"/>
      <c r="N124" s="290">
        <f t="shared" si="109"/>
        <v>0</v>
      </c>
      <c r="O124" s="291">
        <f t="shared" si="110"/>
        <v>0</v>
      </c>
      <c r="P124" s="291">
        <f t="shared" si="111"/>
        <v>0</v>
      </c>
      <c r="Q124" s="289">
        <f t="shared" si="112"/>
        <v>0</v>
      </c>
      <c r="R124" s="251">
        <f t="shared" si="113"/>
        <v>0</v>
      </c>
      <c r="S124" s="251" t="str">
        <f t="shared" si="114"/>
        <v/>
      </c>
      <c r="T124" s="407"/>
    </row>
    <row r="125" spans="1:20" ht="15" customHeight="1">
      <c r="A125" s="243">
        <f t="shared" si="56"/>
        <v>115</v>
      </c>
      <c r="B125" s="302"/>
      <c r="C125" s="288" t="s">
        <v>149</v>
      </c>
      <c r="D125" s="231"/>
      <c r="E125" s="245">
        <v>524</v>
      </c>
      <c r="F125" s="290">
        <f>'Annual Budget '!G125</f>
        <v>0</v>
      </c>
      <c r="G125" s="398"/>
      <c r="H125" s="291">
        <f t="shared" si="107"/>
        <v>0</v>
      </c>
      <c r="I125" s="393"/>
      <c r="J125" s="290">
        <f>'Annual Budget '!I125</f>
        <v>0</v>
      </c>
      <c r="K125" s="398"/>
      <c r="L125" s="291">
        <f t="shared" si="108"/>
        <v>0</v>
      </c>
      <c r="M125" s="399"/>
      <c r="N125" s="290">
        <f t="shared" si="109"/>
        <v>0</v>
      </c>
      <c r="O125" s="291">
        <f t="shared" si="110"/>
        <v>0</v>
      </c>
      <c r="P125" s="291">
        <f t="shared" si="111"/>
        <v>0</v>
      </c>
      <c r="Q125" s="289">
        <f t="shared" si="112"/>
        <v>0</v>
      </c>
      <c r="R125" s="251">
        <f t="shared" si="113"/>
        <v>0</v>
      </c>
      <c r="S125" s="251" t="str">
        <f t="shared" si="114"/>
        <v/>
      </c>
      <c r="T125" s="407"/>
    </row>
    <row r="126" spans="1:20" ht="15" customHeight="1">
      <c r="A126" s="243">
        <f t="shared" si="56"/>
        <v>116</v>
      </c>
      <c r="B126" s="302"/>
      <c r="C126" s="244" t="s">
        <v>150</v>
      </c>
      <c r="D126" s="231"/>
      <c r="E126" s="245">
        <v>525</v>
      </c>
      <c r="F126" s="290">
        <f>'Annual Budget '!G126</f>
        <v>0</v>
      </c>
      <c r="G126" s="398"/>
      <c r="H126" s="291">
        <f t="shared" si="107"/>
        <v>0</v>
      </c>
      <c r="I126" s="393"/>
      <c r="J126" s="290">
        <f>'Annual Budget '!I126</f>
        <v>0</v>
      </c>
      <c r="K126" s="398"/>
      <c r="L126" s="291">
        <f t="shared" si="108"/>
        <v>0</v>
      </c>
      <c r="M126" s="399"/>
      <c r="N126" s="290">
        <f t="shared" si="109"/>
        <v>0</v>
      </c>
      <c r="O126" s="291">
        <f t="shared" si="110"/>
        <v>0</v>
      </c>
      <c r="P126" s="291">
        <f t="shared" si="111"/>
        <v>0</v>
      </c>
      <c r="Q126" s="289">
        <f t="shared" si="112"/>
        <v>0</v>
      </c>
      <c r="R126" s="251">
        <f t="shared" si="113"/>
        <v>0</v>
      </c>
      <c r="S126" s="251" t="str">
        <f t="shared" si="114"/>
        <v/>
      </c>
      <c r="T126" s="407"/>
    </row>
    <row r="127" spans="1:20" ht="17.25" customHeight="1">
      <c r="A127" s="243">
        <f t="shared" si="56"/>
        <v>117</v>
      </c>
      <c r="B127" s="244"/>
      <c r="C127" s="288" t="s">
        <v>115</v>
      </c>
      <c r="D127" s="231"/>
      <c r="E127" s="304" t="s">
        <v>100</v>
      </c>
      <c r="F127" s="290">
        <f>'Annual Budget '!G127</f>
        <v>267500</v>
      </c>
      <c r="G127" s="398"/>
      <c r="H127" s="291">
        <f t="shared" si="107"/>
        <v>267500</v>
      </c>
      <c r="I127" s="393"/>
      <c r="J127" s="290">
        <f>'Annual Budget '!I127</f>
        <v>0</v>
      </c>
      <c r="K127" s="398"/>
      <c r="L127" s="291">
        <f t="shared" si="108"/>
        <v>0</v>
      </c>
      <c r="M127" s="399"/>
      <c r="N127" s="290">
        <f t="shared" si="109"/>
        <v>267500</v>
      </c>
      <c r="O127" s="291">
        <f t="shared" si="110"/>
        <v>0</v>
      </c>
      <c r="P127" s="291">
        <f t="shared" si="111"/>
        <v>267500</v>
      </c>
      <c r="Q127" s="289">
        <f t="shared" si="112"/>
        <v>0</v>
      </c>
      <c r="R127" s="251">
        <f t="shared" si="113"/>
        <v>5.2039224457410264E-2</v>
      </c>
      <c r="S127" s="251">
        <f t="shared" si="114"/>
        <v>0</v>
      </c>
      <c r="T127" s="407"/>
    </row>
    <row r="128" spans="1:20" ht="17.25" customHeight="1">
      <c r="A128" s="243">
        <f t="shared" si="56"/>
        <v>118</v>
      </c>
      <c r="B128" s="244"/>
      <c r="C128" s="244" t="s">
        <v>17</v>
      </c>
      <c r="D128" s="231"/>
      <c r="E128" s="245" t="s">
        <v>131</v>
      </c>
      <c r="F128" s="290">
        <f>'Annual Budget '!G128</f>
        <v>20000</v>
      </c>
      <c r="G128" s="398"/>
      <c r="H128" s="291">
        <f t="shared" si="107"/>
        <v>20000</v>
      </c>
      <c r="I128" s="393"/>
      <c r="J128" s="290">
        <f>'Annual Budget '!I128</f>
        <v>0</v>
      </c>
      <c r="K128" s="398"/>
      <c r="L128" s="291">
        <f t="shared" si="108"/>
        <v>0</v>
      </c>
      <c r="M128" s="399"/>
      <c r="N128" s="290">
        <f t="shared" si="109"/>
        <v>20000</v>
      </c>
      <c r="O128" s="291">
        <f t="shared" si="110"/>
        <v>0</v>
      </c>
      <c r="P128" s="291">
        <f t="shared" si="111"/>
        <v>20000</v>
      </c>
      <c r="Q128" s="289">
        <f t="shared" si="112"/>
        <v>0</v>
      </c>
      <c r="R128" s="251">
        <f t="shared" si="113"/>
        <v>3.8907831370026363E-3</v>
      </c>
      <c r="S128" s="251">
        <f t="shared" si="114"/>
        <v>0</v>
      </c>
      <c r="T128" s="407"/>
    </row>
    <row r="129" spans="1:20" ht="15" customHeight="1">
      <c r="A129" s="243">
        <f t="shared" si="56"/>
        <v>119</v>
      </c>
      <c r="B129" s="244"/>
      <c r="C129" s="288" t="s">
        <v>201</v>
      </c>
      <c r="D129" s="231"/>
      <c r="E129" s="245" t="s">
        <v>121</v>
      </c>
      <c r="F129" s="290">
        <f>'Annual Budget '!G129</f>
        <v>52632.518717202795</v>
      </c>
      <c r="G129" s="398"/>
      <c r="H129" s="291">
        <f t="shared" si="107"/>
        <v>52632.518717202795</v>
      </c>
      <c r="I129" s="393"/>
      <c r="J129" s="290">
        <f>'Annual Budget '!I129</f>
        <v>50000</v>
      </c>
      <c r="K129" s="398"/>
      <c r="L129" s="291">
        <f t="shared" si="108"/>
        <v>50000</v>
      </c>
      <c r="M129" s="399"/>
      <c r="N129" s="290">
        <f t="shared" si="109"/>
        <v>102632.51871720279</v>
      </c>
      <c r="O129" s="291">
        <f t="shared" si="110"/>
        <v>0</v>
      </c>
      <c r="P129" s="291">
        <f t="shared" si="111"/>
        <v>102632.51871720279</v>
      </c>
      <c r="Q129" s="289">
        <f t="shared" si="112"/>
        <v>0</v>
      </c>
      <c r="R129" s="251">
        <f t="shared" si="113"/>
        <v>1.9966043656650004E-2</v>
      </c>
      <c r="S129" s="251">
        <f t="shared" si="114"/>
        <v>0</v>
      </c>
      <c r="T129" s="407"/>
    </row>
    <row r="130" spans="1:20" ht="15" customHeight="1">
      <c r="A130" s="256">
        <f t="shared" si="56"/>
        <v>120</v>
      </c>
      <c r="B130" s="257"/>
      <c r="C130" s="257" t="s">
        <v>104</v>
      </c>
      <c r="D130" s="341"/>
      <c r="E130" s="293">
        <v>500</v>
      </c>
      <c r="F130" s="294">
        <f>SUM(F121:F129)</f>
        <v>719142.51871720282</v>
      </c>
      <c r="G130" s="295">
        <f t="shared" ref="G130:Q130" si="115">SUM(G121:G129)</f>
        <v>0</v>
      </c>
      <c r="H130" s="295">
        <f t="shared" si="115"/>
        <v>719142.51871720282</v>
      </c>
      <c r="I130" s="296">
        <f t="shared" si="115"/>
        <v>0</v>
      </c>
      <c r="J130" s="294">
        <f t="shared" si="115"/>
        <v>100000</v>
      </c>
      <c r="K130" s="295">
        <f t="shared" si="115"/>
        <v>0</v>
      </c>
      <c r="L130" s="295">
        <f t="shared" si="115"/>
        <v>100000</v>
      </c>
      <c r="M130" s="296">
        <f t="shared" si="115"/>
        <v>0</v>
      </c>
      <c r="N130" s="294">
        <f t="shared" si="115"/>
        <v>819142.51871720282</v>
      </c>
      <c r="O130" s="295">
        <f t="shared" si="115"/>
        <v>0</v>
      </c>
      <c r="P130" s="295">
        <f t="shared" si="115"/>
        <v>819142.51871720282</v>
      </c>
      <c r="Q130" s="297">
        <f t="shared" si="115"/>
        <v>0</v>
      </c>
      <c r="R130" s="263">
        <f t="shared" si="113"/>
        <v>0.15935529493133796</v>
      </c>
      <c r="S130" s="263">
        <f t="shared" si="114"/>
        <v>0</v>
      </c>
      <c r="T130" s="408"/>
    </row>
    <row r="131" spans="1:20" ht="15" customHeight="1">
      <c r="A131" s="234">
        <f t="shared" si="56"/>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6"/>
        <v>122</v>
      </c>
      <c r="B132" s="302"/>
      <c r="C132" s="303" t="s">
        <v>39</v>
      </c>
      <c r="D132" s="231"/>
      <c r="E132" s="245">
        <v>610</v>
      </c>
      <c r="F132" s="290">
        <f>'Annual Budget '!G132</f>
        <v>138750</v>
      </c>
      <c r="G132" s="398"/>
      <c r="H132" s="291">
        <f t="shared" ref="H132:H136" si="116">SUM(F132:G132)</f>
        <v>138750</v>
      </c>
      <c r="I132" s="393"/>
      <c r="J132" s="290">
        <f>'Annual Budget '!I132</f>
        <v>50000</v>
      </c>
      <c r="K132" s="398"/>
      <c r="L132" s="291">
        <f t="shared" ref="L132:L136" si="117">SUM(J132:K132)</f>
        <v>50000</v>
      </c>
      <c r="M132" s="399"/>
      <c r="N132" s="290">
        <f t="shared" ref="N132:N136" si="118">F132+J132</f>
        <v>188750</v>
      </c>
      <c r="O132" s="291">
        <f t="shared" ref="O132:O136" si="119">K132+G132</f>
        <v>0</v>
      </c>
      <c r="P132" s="291">
        <f t="shared" ref="P132:P136" si="120">SUM(N132:O132)</f>
        <v>188750</v>
      </c>
      <c r="Q132" s="289">
        <f t="shared" ref="Q132:Q136" si="121">M132+I132</f>
        <v>0</v>
      </c>
      <c r="R132" s="251">
        <f t="shared" ref="R132:R137" si="122">P132/$P$156</f>
        <v>3.6719265855462382E-2</v>
      </c>
      <c r="S132" s="251">
        <f t="shared" ref="S132:S137" si="123">IFERROR(Q132/P132,"")</f>
        <v>0</v>
      </c>
      <c r="T132" s="407"/>
    </row>
    <row r="133" spans="1:20" ht="15" customHeight="1">
      <c r="A133" s="243">
        <f t="shared" si="56"/>
        <v>123</v>
      </c>
      <c r="B133" s="302"/>
      <c r="C133" s="303" t="s">
        <v>71</v>
      </c>
      <c r="D133" s="231"/>
      <c r="E133" s="245" t="s">
        <v>18</v>
      </c>
      <c r="F133" s="290">
        <f>'Annual Budget '!G133</f>
        <v>112500</v>
      </c>
      <c r="G133" s="398"/>
      <c r="H133" s="291">
        <f t="shared" si="116"/>
        <v>112500</v>
      </c>
      <c r="I133" s="393"/>
      <c r="J133" s="290">
        <f>'Annual Budget '!I133</f>
        <v>0</v>
      </c>
      <c r="K133" s="398"/>
      <c r="L133" s="291">
        <f t="shared" si="117"/>
        <v>0</v>
      </c>
      <c r="M133" s="399"/>
      <c r="N133" s="290">
        <f t="shared" si="118"/>
        <v>112500</v>
      </c>
      <c r="O133" s="291">
        <f t="shared" si="119"/>
        <v>0</v>
      </c>
      <c r="P133" s="291">
        <f t="shared" si="120"/>
        <v>112500</v>
      </c>
      <c r="Q133" s="289">
        <f t="shared" si="121"/>
        <v>0</v>
      </c>
      <c r="R133" s="251">
        <f t="shared" si="122"/>
        <v>2.188565514563983E-2</v>
      </c>
      <c r="S133" s="251">
        <f t="shared" si="123"/>
        <v>0</v>
      </c>
      <c r="T133" s="407"/>
    </row>
    <row r="134" spans="1:20" ht="17.25" customHeight="1">
      <c r="A134" s="243">
        <f t="shared" si="56"/>
        <v>124</v>
      </c>
      <c r="B134" s="302"/>
      <c r="C134" s="303" t="s">
        <v>37</v>
      </c>
      <c r="D134" s="231"/>
      <c r="E134" s="245" t="s">
        <v>101</v>
      </c>
      <c r="F134" s="290">
        <f>'Annual Budget '!G134</f>
        <v>0</v>
      </c>
      <c r="G134" s="398"/>
      <c r="H134" s="291">
        <f t="shared" si="116"/>
        <v>0</v>
      </c>
      <c r="I134" s="393"/>
      <c r="J134" s="290">
        <f>'Annual Budget '!I134</f>
        <v>0</v>
      </c>
      <c r="K134" s="398"/>
      <c r="L134" s="291">
        <f t="shared" si="117"/>
        <v>0</v>
      </c>
      <c r="M134" s="399"/>
      <c r="N134" s="290">
        <f t="shared" si="118"/>
        <v>0</v>
      </c>
      <c r="O134" s="291">
        <f t="shared" si="119"/>
        <v>0</v>
      </c>
      <c r="P134" s="291">
        <f t="shared" si="120"/>
        <v>0</v>
      </c>
      <c r="Q134" s="289">
        <f t="shared" si="121"/>
        <v>0</v>
      </c>
      <c r="R134" s="251">
        <f t="shared" si="122"/>
        <v>0</v>
      </c>
      <c r="S134" s="251" t="str">
        <f t="shared" si="123"/>
        <v/>
      </c>
      <c r="T134" s="407"/>
    </row>
    <row r="135" spans="1:20" ht="17.25" customHeight="1">
      <c r="A135" s="243">
        <f t="shared" si="56"/>
        <v>125</v>
      </c>
      <c r="B135" s="302"/>
      <c r="C135" s="244" t="s">
        <v>72</v>
      </c>
      <c r="D135" s="231"/>
      <c r="E135" s="245" t="s">
        <v>132</v>
      </c>
      <c r="F135" s="290">
        <f>'Annual Budget '!G135</f>
        <v>37500</v>
      </c>
      <c r="G135" s="398"/>
      <c r="H135" s="291">
        <f t="shared" si="116"/>
        <v>37500</v>
      </c>
      <c r="I135" s="393"/>
      <c r="J135" s="290">
        <f>'Annual Budget '!I135</f>
        <v>0</v>
      </c>
      <c r="K135" s="398"/>
      <c r="L135" s="291">
        <f t="shared" si="117"/>
        <v>0</v>
      </c>
      <c r="M135" s="399"/>
      <c r="N135" s="290">
        <f t="shared" si="118"/>
        <v>37500</v>
      </c>
      <c r="O135" s="291">
        <f t="shared" si="119"/>
        <v>0</v>
      </c>
      <c r="P135" s="291">
        <f t="shared" si="120"/>
        <v>37500</v>
      </c>
      <c r="Q135" s="289">
        <f t="shared" si="121"/>
        <v>0</v>
      </c>
      <c r="R135" s="251">
        <f t="shared" si="122"/>
        <v>7.2952183818799435E-3</v>
      </c>
      <c r="S135" s="251">
        <f t="shared" si="123"/>
        <v>0</v>
      </c>
      <c r="T135" s="407"/>
    </row>
    <row r="136" spans="1:20" ht="15" customHeight="1">
      <c r="A136" s="243">
        <f t="shared" si="56"/>
        <v>126</v>
      </c>
      <c r="B136" s="302"/>
      <c r="C136" s="288" t="s">
        <v>202</v>
      </c>
      <c r="D136" s="231"/>
      <c r="E136" s="245" t="s">
        <v>38</v>
      </c>
      <c r="F136" s="290">
        <f>'Annual Budget '!G136</f>
        <v>57500</v>
      </c>
      <c r="G136" s="398"/>
      <c r="H136" s="291">
        <f t="shared" si="116"/>
        <v>57500</v>
      </c>
      <c r="I136" s="393"/>
      <c r="J136" s="290">
        <f>'Annual Budget '!I136</f>
        <v>0</v>
      </c>
      <c r="K136" s="398"/>
      <c r="L136" s="291">
        <f t="shared" si="117"/>
        <v>0</v>
      </c>
      <c r="M136" s="399"/>
      <c r="N136" s="290">
        <f t="shared" si="118"/>
        <v>57500</v>
      </c>
      <c r="O136" s="291">
        <f t="shared" si="119"/>
        <v>0</v>
      </c>
      <c r="P136" s="291">
        <f t="shared" si="120"/>
        <v>57500</v>
      </c>
      <c r="Q136" s="289">
        <f t="shared" si="121"/>
        <v>0</v>
      </c>
      <c r="R136" s="251">
        <f t="shared" si="122"/>
        <v>1.118600151888258E-2</v>
      </c>
      <c r="S136" s="251">
        <f t="shared" si="123"/>
        <v>0</v>
      </c>
      <c r="T136" s="407"/>
    </row>
    <row r="137" spans="1:20" ht="15" customHeight="1">
      <c r="A137" s="256">
        <f t="shared" si="56"/>
        <v>127</v>
      </c>
      <c r="B137" s="257"/>
      <c r="C137" s="257" t="s">
        <v>84</v>
      </c>
      <c r="D137" s="341"/>
      <c r="E137" s="293">
        <v>600</v>
      </c>
      <c r="F137" s="294">
        <f>SUM(F132:F136)</f>
        <v>346250</v>
      </c>
      <c r="G137" s="295">
        <f t="shared" ref="G137:Q137" si="124">SUM(G132:G136)</f>
        <v>0</v>
      </c>
      <c r="H137" s="295">
        <f t="shared" si="124"/>
        <v>346250</v>
      </c>
      <c r="I137" s="296">
        <f t="shared" si="124"/>
        <v>0</v>
      </c>
      <c r="J137" s="294">
        <f t="shared" si="124"/>
        <v>50000</v>
      </c>
      <c r="K137" s="295">
        <f t="shared" si="124"/>
        <v>0</v>
      </c>
      <c r="L137" s="295">
        <f t="shared" si="124"/>
        <v>50000</v>
      </c>
      <c r="M137" s="296">
        <f t="shared" si="124"/>
        <v>0</v>
      </c>
      <c r="N137" s="294">
        <f t="shared" si="124"/>
        <v>396250</v>
      </c>
      <c r="O137" s="295">
        <f t="shared" si="124"/>
        <v>0</v>
      </c>
      <c r="P137" s="295">
        <f t="shared" si="124"/>
        <v>396250</v>
      </c>
      <c r="Q137" s="297">
        <f t="shared" si="124"/>
        <v>0</v>
      </c>
      <c r="R137" s="263">
        <f t="shared" si="122"/>
        <v>7.7086140901864733E-2</v>
      </c>
      <c r="S137" s="263">
        <f t="shared" si="123"/>
        <v>0</v>
      </c>
      <c r="T137" s="408"/>
    </row>
    <row r="138" spans="1:20" ht="15" customHeight="1">
      <c r="A138" s="234">
        <f t="shared" si="56"/>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6"/>
        <v>129</v>
      </c>
      <c r="B139" s="302"/>
      <c r="C139" s="288" t="s">
        <v>122</v>
      </c>
      <c r="D139" s="231"/>
      <c r="E139" s="245">
        <v>710</v>
      </c>
      <c r="F139" s="290">
        <f>'Annual Budget '!G139</f>
        <v>0</v>
      </c>
      <c r="G139" s="398"/>
      <c r="H139" s="291">
        <f t="shared" ref="H139:H142" si="125">SUM(F139:G139)</f>
        <v>0</v>
      </c>
      <c r="I139" s="393"/>
      <c r="J139" s="290">
        <f>'Annual Budget '!I139</f>
        <v>0</v>
      </c>
      <c r="K139" s="398"/>
      <c r="L139" s="291">
        <f t="shared" ref="L139:L142" si="126">SUM(J139:K139)</f>
        <v>0</v>
      </c>
      <c r="M139" s="399"/>
      <c r="N139" s="290">
        <f t="shared" ref="N139:N142" si="127">F139+J139</f>
        <v>0</v>
      </c>
      <c r="O139" s="291">
        <f t="shared" ref="O139:O142" si="128">K139+G139</f>
        <v>0</v>
      </c>
      <c r="P139" s="291">
        <f t="shared" ref="P139:P142" si="129">SUM(N139:O139)</f>
        <v>0</v>
      </c>
      <c r="Q139" s="289">
        <f t="shared" ref="Q139:Q142" si="130">M139+I139</f>
        <v>0</v>
      </c>
      <c r="R139" s="251">
        <f t="shared" ref="R139:R143" si="131">P139/$P$156</f>
        <v>0</v>
      </c>
      <c r="S139" s="251" t="str">
        <f t="shared" ref="S139:S143" si="132">IFERROR(Q139/P139,"")</f>
        <v/>
      </c>
      <c r="T139" s="407"/>
    </row>
    <row r="140" spans="1:20" ht="17.25" customHeight="1">
      <c r="A140" s="243">
        <f t="shared" si="56"/>
        <v>130</v>
      </c>
      <c r="B140" s="302"/>
      <c r="C140" s="288" t="s">
        <v>73</v>
      </c>
      <c r="D140" s="231"/>
      <c r="E140" s="245">
        <v>720</v>
      </c>
      <c r="F140" s="290">
        <f>'Annual Budget '!G140</f>
        <v>0</v>
      </c>
      <c r="G140" s="398"/>
      <c r="H140" s="291">
        <f t="shared" si="125"/>
        <v>0</v>
      </c>
      <c r="I140" s="393"/>
      <c r="J140" s="290">
        <f>'Annual Budget '!I140</f>
        <v>0</v>
      </c>
      <c r="K140" s="398"/>
      <c r="L140" s="291">
        <f t="shared" si="126"/>
        <v>0</v>
      </c>
      <c r="M140" s="399"/>
      <c r="N140" s="290">
        <f t="shared" si="127"/>
        <v>0</v>
      </c>
      <c r="O140" s="291">
        <f t="shared" si="128"/>
        <v>0</v>
      </c>
      <c r="P140" s="291">
        <f t="shared" si="129"/>
        <v>0</v>
      </c>
      <c r="Q140" s="289">
        <f t="shared" si="130"/>
        <v>0</v>
      </c>
      <c r="R140" s="251">
        <f t="shared" si="131"/>
        <v>0</v>
      </c>
      <c r="S140" s="251" t="str">
        <f t="shared" si="132"/>
        <v/>
      </c>
      <c r="T140" s="407"/>
    </row>
    <row r="141" spans="1:20" ht="17.25" customHeight="1">
      <c r="A141" s="243">
        <f t="shared" si="56"/>
        <v>131</v>
      </c>
      <c r="B141" s="302"/>
      <c r="C141" s="303" t="s">
        <v>19</v>
      </c>
      <c r="D141" s="231"/>
      <c r="E141" s="245" t="s">
        <v>123</v>
      </c>
      <c r="F141" s="290">
        <f>'Annual Budget '!G141</f>
        <v>0</v>
      </c>
      <c r="G141" s="398"/>
      <c r="H141" s="291">
        <f t="shared" si="125"/>
        <v>0</v>
      </c>
      <c r="I141" s="393"/>
      <c r="J141" s="290">
        <f>'Annual Budget '!I141</f>
        <v>0</v>
      </c>
      <c r="K141" s="398"/>
      <c r="L141" s="291">
        <f t="shared" si="126"/>
        <v>0</v>
      </c>
      <c r="M141" s="399"/>
      <c r="N141" s="290">
        <f t="shared" si="127"/>
        <v>0</v>
      </c>
      <c r="O141" s="291">
        <f t="shared" si="128"/>
        <v>0</v>
      </c>
      <c r="P141" s="291">
        <f t="shared" si="129"/>
        <v>0</v>
      </c>
      <c r="Q141" s="289">
        <f t="shared" si="130"/>
        <v>0</v>
      </c>
      <c r="R141" s="251">
        <f t="shared" si="131"/>
        <v>0</v>
      </c>
      <c r="S141" s="251" t="str">
        <f t="shared" si="132"/>
        <v/>
      </c>
      <c r="T141" s="407"/>
    </row>
    <row r="142" spans="1:20" ht="14.25" customHeight="1">
      <c r="A142" s="243">
        <f t="shared" ref="A142:A156" si="133">A141+1</f>
        <v>132</v>
      </c>
      <c r="B142" s="244"/>
      <c r="C142" s="303" t="s">
        <v>203</v>
      </c>
      <c r="D142" s="231"/>
      <c r="E142" s="245" t="s">
        <v>124</v>
      </c>
      <c r="F142" s="290">
        <f>'Annual Budget '!G142</f>
        <v>0</v>
      </c>
      <c r="G142" s="398"/>
      <c r="H142" s="291">
        <f t="shared" si="125"/>
        <v>0</v>
      </c>
      <c r="I142" s="393"/>
      <c r="J142" s="290">
        <f>'Annual Budget '!I142</f>
        <v>0</v>
      </c>
      <c r="K142" s="398"/>
      <c r="L142" s="291">
        <f t="shared" si="126"/>
        <v>0</v>
      </c>
      <c r="M142" s="399"/>
      <c r="N142" s="290">
        <f t="shared" si="127"/>
        <v>0</v>
      </c>
      <c r="O142" s="291">
        <f t="shared" si="128"/>
        <v>0</v>
      </c>
      <c r="P142" s="291">
        <f t="shared" si="129"/>
        <v>0</v>
      </c>
      <c r="Q142" s="289">
        <f t="shared" si="130"/>
        <v>0</v>
      </c>
      <c r="R142" s="251">
        <f t="shared" si="131"/>
        <v>0</v>
      </c>
      <c r="S142" s="251" t="str">
        <f t="shared" si="132"/>
        <v/>
      </c>
      <c r="T142" s="407"/>
    </row>
    <row r="143" spans="1:20" ht="15" customHeight="1">
      <c r="A143" s="256">
        <f t="shared" si="133"/>
        <v>133</v>
      </c>
      <c r="B143" s="257"/>
      <c r="C143" s="257" t="s">
        <v>86</v>
      </c>
      <c r="D143" s="341"/>
      <c r="E143" s="293">
        <v>700</v>
      </c>
      <c r="F143" s="294">
        <f>SUM(F139:F142)</f>
        <v>0</v>
      </c>
      <c r="G143" s="295">
        <f t="shared" ref="G143:Q143" si="134">SUM(G139:G142)</f>
        <v>0</v>
      </c>
      <c r="H143" s="295">
        <f t="shared" si="134"/>
        <v>0</v>
      </c>
      <c r="I143" s="296">
        <f t="shared" si="134"/>
        <v>0</v>
      </c>
      <c r="J143" s="294">
        <f t="shared" si="134"/>
        <v>0</v>
      </c>
      <c r="K143" s="295">
        <f t="shared" si="134"/>
        <v>0</v>
      </c>
      <c r="L143" s="295">
        <f t="shared" si="134"/>
        <v>0</v>
      </c>
      <c r="M143" s="296">
        <f t="shared" si="134"/>
        <v>0</v>
      </c>
      <c r="N143" s="294">
        <f t="shared" si="134"/>
        <v>0</v>
      </c>
      <c r="O143" s="295">
        <f t="shared" si="134"/>
        <v>0</v>
      </c>
      <c r="P143" s="295">
        <f t="shared" si="134"/>
        <v>0</v>
      </c>
      <c r="Q143" s="297">
        <f t="shared" si="134"/>
        <v>0</v>
      </c>
      <c r="R143" s="263">
        <f t="shared" si="131"/>
        <v>0</v>
      </c>
      <c r="S143" s="263" t="str">
        <f t="shared" si="132"/>
        <v/>
      </c>
      <c r="T143" s="408"/>
    </row>
    <row r="144" spans="1:20" ht="15" customHeight="1">
      <c r="A144" s="234">
        <f t="shared" si="133"/>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33"/>
        <v>135</v>
      </c>
      <c r="B145" s="302"/>
      <c r="C145" s="303" t="s">
        <v>144</v>
      </c>
      <c r="D145" s="231"/>
      <c r="E145" s="245">
        <v>810</v>
      </c>
      <c r="F145" s="290">
        <f>'Annual Budget '!G145</f>
        <v>71000</v>
      </c>
      <c r="G145" s="398"/>
      <c r="H145" s="291">
        <f t="shared" ref="H145:H149" si="135">SUM(F145:G145)</f>
        <v>71000</v>
      </c>
      <c r="I145" s="393"/>
      <c r="J145" s="290">
        <f>'Annual Budget '!I145</f>
        <v>0</v>
      </c>
      <c r="K145" s="398"/>
      <c r="L145" s="291">
        <f t="shared" ref="L145:L149" si="136">SUM(J145:K145)</f>
        <v>0</v>
      </c>
      <c r="M145" s="399"/>
      <c r="N145" s="290">
        <f t="shared" ref="N145:N149" si="137">F145+J145</f>
        <v>71000</v>
      </c>
      <c r="O145" s="291">
        <f t="shared" ref="O145:O149" si="138">K145+G145</f>
        <v>0</v>
      </c>
      <c r="P145" s="291">
        <f t="shared" ref="P145:P149" si="139">SUM(N145:O145)</f>
        <v>71000</v>
      </c>
      <c r="Q145" s="289">
        <f t="shared" ref="Q145:Q149" si="140">M145+I145</f>
        <v>0</v>
      </c>
      <c r="R145" s="251">
        <f t="shared" ref="R145:R149" si="141">P145/$P$156</f>
        <v>1.3812280136359359E-2</v>
      </c>
      <c r="S145" s="251">
        <f t="shared" ref="S145:S150" si="142">IFERROR(Q145/P145,"")</f>
        <v>0</v>
      </c>
      <c r="T145" s="407"/>
    </row>
    <row r="146" spans="1:20" ht="15" customHeight="1">
      <c r="A146" s="243">
        <f t="shared" si="133"/>
        <v>136</v>
      </c>
      <c r="B146" s="302"/>
      <c r="C146" s="303" t="s">
        <v>145</v>
      </c>
      <c r="D146" s="231"/>
      <c r="E146" s="245">
        <v>810</v>
      </c>
      <c r="F146" s="290">
        <f>'Annual Budget '!G146</f>
        <v>0</v>
      </c>
      <c r="G146" s="398"/>
      <c r="H146" s="291">
        <f t="shared" si="135"/>
        <v>0</v>
      </c>
      <c r="I146" s="393"/>
      <c r="J146" s="290">
        <f>'Annual Budget '!I146</f>
        <v>0</v>
      </c>
      <c r="K146" s="398"/>
      <c r="L146" s="291">
        <f t="shared" si="136"/>
        <v>0</v>
      </c>
      <c r="M146" s="399"/>
      <c r="N146" s="290">
        <f t="shared" si="137"/>
        <v>0</v>
      </c>
      <c r="O146" s="291">
        <f t="shared" si="138"/>
        <v>0</v>
      </c>
      <c r="P146" s="291">
        <f t="shared" si="139"/>
        <v>0</v>
      </c>
      <c r="Q146" s="289">
        <f t="shared" si="140"/>
        <v>0</v>
      </c>
      <c r="R146" s="251">
        <f t="shared" si="141"/>
        <v>0</v>
      </c>
      <c r="S146" s="251" t="str">
        <f t="shared" si="142"/>
        <v/>
      </c>
      <c r="T146" s="407"/>
    </row>
    <row r="147" spans="1:20" ht="17.25" customHeight="1">
      <c r="A147" s="243">
        <f t="shared" si="133"/>
        <v>137</v>
      </c>
      <c r="B147" s="302"/>
      <c r="C147" s="288" t="s">
        <v>25</v>
      </c>
      <c r="D147" s="231"/>
      <c r="E147" s="245">
        <v>830</v>
      </c>
      <c r="F147" s="290">
        <f>'Annual Budget '!G147</f>
        <v>0</v>
      </c>
      <c r="G147" s="398"/>
      <c r="H147" s="291">
        <f t="shared" si="135"/>
        <v>0</v>
      </c>
      <c r="I147" s="393"/>
      <c r="J147" s="290">
        <f>'Annual Budget '!I147</f>
        <v>0</v>
      </c>
      <c r="K147" s="398"/>
      <c r="L147" s="291">
        <f t="shared" si="136"/>
        <v>0</v>
      </c>
      <c r="M147" s="399"/>
      <c r="N147" s="290">
        <f t="shared" si="137"/>
        <v>0</v>
      </c>
      <c r="O147" s="291">
        <f t="shared" si="138"/>
        <v>0</v>
      </c>
      <c r="P147" s="291">
        <f t="shared" si="139"/>
        <v>0</v>
      </c>
      <c r="Q147" s="289">
        <f t="shared" si="140"/>
        <v>0</v>
      </c>
      <c r="R147" s="251">
        <f t="shared" si="141"/>
        <v>0</v>
      </c>
      <c r="S147" s="251" t="str">
        <f t="shared" si="142"/>
        <v/>
      </c>
      <c r="T147" s="407"/>
    </row>
    <row r="148" spans="1:20" ht="17.25" customHeight="1">
      <c r="A148" s="243">
        <f t="shared" si="133"/>
        <v>138</v>
      </c>
      <c r="B148" s="302"/>
      <c r="C148" s="288" t="s">
        <v>127</v>
      </c>
      <c r="D148" s="231"/>
      <c r="E148" s="245">
        <v>831</v>
      </c>
      <c r="F148" s="290">
        <f>'Annual Budget '!G148</f>
        <v>0</v>
      </c>
      <c r="G148" s="398"/>
      <c r="H148" s="291">
        <f t="shared" si="135"/>
        <v>0</v>
      </c>
      <c r="I148" s="393"/>
      <c r="J148" s="290">
        <f>'Annual Budget '!I148</f>
        <v>0</v>
      </c>
      <c r="K148" s="398"/>
      <c r="L148" s="291">
        <f t="shared" si="136"/>
        <v>0</v>
      </c>
      <c r="M148" s="399"/>
      <c r="N148" s="290">
        <f t="shared" si="137"/>
        <v>0</v>
      </c>
      <c r="O148" s="291">
        <f t="shared" si="138"/>
        <v>0</v>
      </c>
      <c r="P148" s="291">
        <f t="shared" si="139"/>
        <v>0</v>
      </c>
      <c r="Q148" s="289">
        <f t="shared" si="140"/>
        <v>0</v>
      </c>
      <c r="R148" s="251">
        <f t="shared" si="141"/>
        <v>0</v>
      </c>
      <c r="S148" s="251" t="str">
        <f t="shared" si="142"/>
        <v/>
      </c>
      <c r="T148" s="407"/>
    </row>
    <row r="149" spans="1:20" ht="15" customHeight="1">
      <c r="A149" s="243">
        <f t="shared" si="133"/>
        <v>139</v>
      </c>
      <c r="B149" s="302"/>
      <c r="C149" s="288" t="s">
        <v>204</v>
      </c>
      <c r="D149" s="231"/>
      <c r="E149" s="245" t="s">
        <v>125</v>
      </c>
      <c r="F149" s="290">
        <f>'Annual Budget '!G149</f>
        <v>0</v>
      </c>
      <c r="G149" s="398"/>
      <c r="H149" s="291">
        <f t="shared" si="135"/>
        <v>0</v>
      </c>
      <c r="I149" s="393"/>
      <c r="J149" s="290">
        <f>'Annual Budget '!I149</f>
        <v>0</v>
      </c>
      <c r="K149" s="398"/>
      <c r="L149" s="291">
        <f t="shared" si="136"/>
        <v>0</v>
      </c>
      <c r="M149" s="399"/>
      <c r="N149" s="290">
        <f t="shared" si="137"/>
        <v>0</v>
      </c>
      <c r="O149" s="291">
        <f t="shared" si="138"/>
        <v>0</v>
      </c>
      <c r="P149" s="291">
        <f t="shared" si="139"/>
        <v>0</v>
      </c>
      <c r="Q149" s="289">
        <f t="shared" si="140"/>
        <v>0</v>
      </c>
      <c r="R149" s="251">
        <f t="shared" si="141"/>
        <v>0</v>
      </c>
      <c r="S149" s="251" t="str">
        <f t="shared" si="142"/>
        <v/>
      </c>
      <c r="T149" s="407"/>
    </row>
    <row r="150" spans="1:20" ht="15" customHeight="1">
      <c r="A150" s="243">
        <f t="shared" si="133"/>
        <v>140</v>
      </c>
      <c r="B150" s="257"/>
      <c r="C150" s="257" t="s">
        <v>88</v>
      </c>
      <c r="D150" s="341"/>
      <c r="E150" s="293">
        <v>800</v>
      </c>
      <c r="F150" s="294">
        <f>SUM(F145:F149)</f>
        <v>71000</v>
      </c>
      <c r="G150" s="295">
        <f t="shared" ref="G150:Q150" si="143">SUM(G145:G149)</f>
        <v>0</v>
      </c>
      <c r="H150" s="295">
        <f t="shared" si="143"/>
        <v>71000</v>
      </c>
      <c r="I150" s="296">
        <f t="shared" si="143"/>
        <v>0</v>
      </c>
      <c r="J150" s="294">
        <f t="shared" si="143"/>
        <v>0</v>
      </c>
      <c r="K150" s="295">
        <f t="shared" si="143"/>
        <v>0</v>
      </c>
      <c r="L150" s="295">
        <f t="shared" si="143"/>
        <v>0</v>
      </c>
      <c r="M150" s="296">
        <f t="shared" si="143"/>
        <v>0</v>
      </c>
      <c r="N150" s="294">
        <f t="shared" si="143"/>
        <v>71000</v>
      </c>
      <c r="O150" s="295">
        <f t="shared" si="143"/>
        <v>0</v>
      </c>
      <c r="P150" s="295">
        <f t="shared" si="143"/>
        <v>71000</v>
      </c>
      <c r="Q150" s="297">
        <f t="shared" si="143"/>
        <v>0</v>
      </c>
      <c r="R150" s="263">
        <f t="shared" ref="R150" si="144">P150/$P$156</f>
        <v>1.3812280136359359E-2</v>
      </c>
      <c r="S150" s="263">
        <f t="shared" si="142"/>
        <v>0</v>
      </c>
      <c r="T150" s="408"/>
    </row>
    <row r="151" spans="1:20" ht="15" customHeight="1">
      <c r="A151" s="342">
        <f t="shared" si="133"/>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33"/>
        <v>142</v>
      </c>
      <c r="B152" s="302"/>
      <c r="C152" s="244" t="s">
        <v>20</v>
      </c>
      <c r="D152" s="231"/>
      <c r="E152" s="245">
        <v>933</v>
      </c>
      <c r="F152" s="290">
        <f>'Annual Budget '!G152</f>
        <v>0</v>
      </c>
      <c r="G152" s="398"/>
      <c r="H152" s="291">
        <f t="shared" ref="H152:H154" si="145">SUM(F152:G152)</f>
        <v>0</v>
      </c>
      <c r="I152" s="393"/>
      <c r="J152" s="290">
        <f>'Annual Budget '!I152</f>
        <v>0</v>
      </c>
      <c r="K152" s="398"/>
      <c r="L152" s="291">
        <f t="shared" ref="L152:L154" si="146">SUM(J152:K152)</f>
        <v>0</v>
      </c>
      <c r="M152" s="399"/>
      <c r="N152" s="290">
        <f t="shared" ref="N152:N154" si="147">F152+J152</f>
        <v>0</v>
      </c>
      <c r="O152" s="291">
        <f t="shared" ref="O152:O154" si="148">K152+G152</f>
        <v>0</v>
      </c>
      <c r="P152" s="291">
        <f t="shared" ref="P152:P154" si="149">SUM(N152:O152)</f>
        <v>0</v>
      </c>
      <c r="Q152" s="289">
        <f t="shared" ref="Q152:Q154" si="150">M152+I152</f>
        <v>0</v>
      </c>
      <c r="R152" s="251">
        <f t="shared" ref="R152:R155" si="151">P152/$P$156</f>
        <v>0</v>
      </c>
      <c r="S152" s="251" t="str">
        <f t="shared" ref="S152:S156" si="152">IFERROR(Q152/P152,"")</f>
        <v/>
      </c>
      <c r="T152" s="407"/>
    </row>
    <row r="153" spans="1:20" ht="17.25" customHeight="1">
      <c r="A153" s="243">
        <f t="shared" si="133"/>
        <v>143</v>
      </c>
      <c r="B153" s="302"/>
      <c r="C153" s="244" t="s">
        <v>205</v>
      </c>
      <c r="D153" s="231"/>
      <c r="E153" s="245" t="s">
        <v>126</v>
      </c>
      <c r="F153" s="290">
        <f>'Annual Budget '!G153</f>
        <v>0</v>
      </c>
      <c r="G153" s="398"/>
      <c r="H153" s="291">
        <f t="shared" si="145"/>
        <v>0</v>
      </c>
      <c r="I153" s="393"/>
      <c r="J153" s="290">
        <f>'Annual Budget '!I153</f>
        <v>0</v>
      </c>
      <c r="K153" s="398"/>
      <c r="L153" s="291">
        <f t="shared" si="146"/>
        <v>0</v>
      </c>
      <c r="M153" s="399"/>
      <c r="N153" s="290">
        <f t="shared" si="147"/>
        <v>0</v>
      </c>
      <c r="O153" s="291">
        <f t="shared" si="148"/>
        <v>0</v>
      </c>
      <c r="P153" s="291">
        <f t="shared" si="149"/>
        <v>0</v>
      </c>
      <c r="Q153" s="289">
        <f t="shared" si="150"/>
        <v>0</v>
      </c>
      <c r="R153" s="251">
        <f t="shared" si="151"/>
        <v>0</v>
      </c>
      <c r="S153" s="251" t="str">
        <f t="shared" si="152"/>
        <v/>
      </c>
      <c r="T153" s="407"/>
    </row>
    <row r="154" spans="1:20" ht="15" customHeight="1">
      <c r="A154" s="243">
        <f t="shared" si="133"/>
        <v>144</v>
      </c>
      <c r="B154" s="396"/>
      <c r="C154" s="403"/>
      <c r="D154" s="394"/>
      <c r="E154" s="395"/>
      <c r="F154" s="290">
        <f>'Annual Budget '!G154</f>
        <v>0</v>
      </c>
      <c r="G154" s="398"/>
      <c r="H154" s="291">
        <f t="shared" si="145"/>
        <v>0</v>
      </c>
      <c r="I154" s="393"/>
      <c r="J154" s="290">
        <f>'Annual Budget '!I154</f>
        <v>0</v>
      </c>
      <c r="K154" s="398"/>
      <c r="L154" s="291">
        <f t="shared" si="146"/>
        <v>0</v>
      </c>
      <c r="M154" s="399"/>
      <c r="N154" s="290">
        <f t="shared" si="147"/>
        <v>0</v>
      </c>
      <c r="O154" s="291">
        <f t="shared" si="148"/>
        <v>0</v>
      </c>
      <c r="P154" s="291">
        <f t="shared" si="149"/>
        <v>0</v>
      </c>
      <c r="Q154" s="289">
        <f t="shared" si="150"/>
        <v>0</v>
      </c>
      <c r="R154" s="251">
        <f t="shared" si="151"/>
        <v>0</v>
      </c>
      <c r="S154" s="251" t="str">
        <f t="shared" si="152"/>
        <v/>
      </c>
      <c r="T154" s="407"/>
    </row>
    <row r="155" spans="1:20" ht="21" customHeight="1">
      <c r="A155" s="343">
        <f t="shared" si="133"/>
        <v>145</v>
      </c>
      <c r="B155" s="257"/>
      <c r="C155" s="257" t="s">
        <v>89</v>
      </c>
      <c r="D155" s="258"/>
      <c r="E155" s="293">
        <v>900</v>
      </c>
      <c r="F155" s="294">
        <f>SUM(F152:F154)</f>
        <v>0</v>
      </c>
      <c r="G155" s="295">
        <f t="shared" ref="G155:Q155" si="153">SUM(G152:G154)</f>
        <v>0</v>
      </c>
      <c r="H155" s="295">
        <f t="shared" si="153"/>
        <v>0</v>
      </c>
      <c r="I155" s="296">
        <f t="shared" si="153"/>
        <v>0</v>
      </c>
      <c r="J155" s="294">
        <f t="shared" si="153"/>
        <v>0</v>
      </c>
      <c r="K155" s="295">
        <f t="shared" si="153"/>
        <v>0</v>
      </c>
      <c r="L155" s="295">
        <f t="shared" si="153"/>
        <v>0</v>
      </c>
      <c r="M155" s="296">
        <f t="shared" si="153"/>
        <v>0</v>
      </c>
      <c r="N155" s="294">
        <f t="shared" si="153"/>
        <v>0</v>
      </c>
      <c r="O155" s="295">
        <f t="shared" si="153"/>
        <v>0</v>
      </c>
      <c r="P155" s="295">
        <f t="shared" si="153"/>
        <v>0</v>
      </c>
      <c r="Q155" s="297">
        <f t="shared" si="153"/>
        <v>0</v>
      </c>
      <c r="R155" s="345">
        <f t="shared" si="151"/>
        <v>0</v>
      </c>
      <c r="S155" s="344" t="str">
        <f t="shared" si="152"/>
        <v/>
      </c>
      <c r="T155" s="421"/>
    </row>
    <row r="156" spans="1:20" ht="18.75" customHeight="1" thickBot="1">
      <c r="A156" s="220">
        <f t="shared" si="133"/>
        <v>146</v>
      </c>
      <c r="B156" s="189"/>
      <c r="C156" s="189"/>
      <c r="D156" s="200" t="s">
        <v>21</v>
      </c>
      <c r="E156" s="201" t="s">
        <v>22</v>
      </c>
      <c r="F156" s="222">
        <f>F97+F106+F112+F119+F130+F137+F143+F150+F155</f>
        <v>3426552.3159670024</v>
      </c>
      <c r="G156" s="225">
        <f t="shared" ref="G156:Q156" si="154">G97+G106+G112+G119+G130+G137+G143+G150+G155</f>
        <v>0</v>
      </c>
      <c r="H156" s="225">
        <f t="shared" si="154"/>
        <v>3426552.3159670024</v>
      </c>
      <c r="I156" s="193">
        <f t="shared" si="154"/>
        <v>0</v>
      </c>
      <c r="J156" s="222">
        <f t="shared" si="154"/>
        <v>1713801</v>
      </c>
      <c r="K156" s="225">
        <f t="shared" si="154"/>
        <v>0</v>
      </c>
      <c r="L156" s="225">
        <f t="shared" si="154"/>
        <v>1713801</v>
      </c>
      <c r="M156" s="193">
        <f t="shared" si="154"/>
        <v>0</v>
      </c>
      <c r="N156" s="222">
        <f t="shared" si="154"/>
        <v>5140353.3159670029</v>
      </c>
      <c r="O156" s="225">
        <f t="shared" si="154"/>
        <v>0</v>
      </c>
      <c r="P156" s="225">
        <f t="shared" si="154"/>
        <v>5140353.3159670029</v>
      </c>
      <c r="Q156" s="192">
        <f t="shared" si="154"/>
        <v>0</v>
      </c>
      <c r="R156" s="194">
        <f t="shared" ref="R156" si="155">P156/$P$156</f>
        <v>1</v>
      </c>
      <c r="S156" s="194">
        <f t="shared" si="152"/>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324852.18059406849</v>
      </c>
      <c r="G158" s="203">
        <f t="shared" ref="G158:Q158" si="156">G85-G156</f>
        <v>0</v>
      </c>
      <c r="H158" s="203">
        <f t="shared" si="156"/>
        <v>324852.18059406849</v>
      </c>
      <c r="I158" s="203">
        <f t="shared" si="156"/>
        <v>0</v>
      </c>
      <c r="J158" s="203">
        <f t="shared" si="156"/>
        <v>-0.41663921298459172</v>
      </c>
      <c r="K158" s="203">
        <f t="shared" si="156"/>
        <v>0</v>
      </c>
      <c r="L158" s="203">
        <f t="shared" si="156"/>
        <v>-0.41663921298459172</v>
      </c>
      <c r="M158" s="203">
        <f t="shared" si="156"/>
        <v>0</v>
      </c>
      <c r="N158" s="203">
        <f t="shared" si="156"/>
        <v>324851.7639548555</v>
      </c>
      <c r="O158" s="203">
        <f t="shared" si="156"/>
        <v>0</v>
      </c>
      <c r="P158" s="203">
        <f t="shared" si="156"/>
        <v>324851.7639548555</v>
      </c>
      <c r="Q158" s="204">
        <f t="shared" si="156"/>
        <v>0</v>
      </c>
      <c r="R158" s="69"/>
      <c r="S158" s="69"/>
      <c r="T158" s="210" t="s">
        <v>158</v>
      </c>
    </row>
    <row r="159" spans="1:20" ht="18.75" customHeight="1" thickBot="1">
      <c r="A159" s="132"/>
      <c r="B159" s="69"/>
      <c r="C159" s="72"/>
      <c r="D159" s="214"/>
      <c r="E159" s="215" t="s">
        <v>106</v>
      </c>
      <c r="F159" s="205">
        <f>'Annual Budget '!G159</f>
        <v>2127814.6799999997</v>
      </c>
      <c r="G159" s="38"/>
      <c r="H159" s="38">
        <f>F159</f>
        <v>2127814.6799999997</v>
      </c>
      <c r="I159" s="38"/>
      <c r="J159" s="38">
        <f>'Annual Budget '!I159</f>
        <v>0</v>
      </c>
      <c r="K159" s="38"/>
      <c r="L159" s="38">
        <f>J159</f>
        <v>0</v>
      </c>
      <c r="M159" s="38"/>
      <c r="N159" s="38">
        <f>F159+J159</f>
        <v>2127814.6799999997</v>
      </c>
      <c r="O159" s="38"/>
      <c r="P159" s="38">
        <f>N159</f>
        <v>2127814.6799999997</v>
      </c>
      <c r="Q159" s="206"/>
      <c r="R159" s="69"/>
      <c r="S159" s="69"/>
      <c r="T159" s="211">
        <f>H160/H85</f>
        <v>0.65379962700434968</v>
      </c>
    </row>
    <row r="160" spans="1:20" ht="15" customHeight="1" thickTop="1" thickBot="1">
      <c r="A160" s="132"/>
      <c r="B160" s="69"/>
      <c r="C160" s="72"/>
      <c r="D160" s="216"/>
      <c r="E160" s="217" t="s">
        <v>107</v>
      </c>
      <c r="F160" s="207">
        <f>SUM(F158:F159)</f>
        <v>2452666.8605940682</v>
      </c>
      <c r="G160" s="208">
        <f t="shared" ref="G160:Q160" si="157">SUM(G158:G159)</f>
        <v>0</v>
      </c>
      <c r="H160" s="208">
        <f t="shared" si="157"/>
        <v>2452666.8605940682</v>
      </c>
      <c r="I160" s="208">
        <f t="shared" si="157"/>
        <v>0</v>
      </c>
      <c r="J160" s="208">
        <f t="shared" si="157"/>
        <v>-0.41663921298459172</v>
      </c>
      <c r="K160" s="208">
        <f t="shared" si="157"/>
        <v>0</v>
      </c>
      <c r="L160" s="208">
        <f t="shared" si="157"/>
        <v>-0.41663921298459172</v>
      </c>
      <c r="M160" s="208">
        <f t="shared" si="157"/>
        <v>0</v>
      </c>
      <c r="N160" s="208">
        <f t="shared" si="157"/>
        <v>2452666.4439548552</v>
      </c>
      <c r="O160" s="208">
        <f t="shared" si="157"/>
        <v>0</v>
      </c>
      <c r="P160" s="208">
        <f t="shared" si="157"/>
        <v>2452666.4439548552</v>
      </c>
      <c r="Q160" s="209">
        <f t="shared" si="157"/>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T8:T10"/>
    <mergeCell ref="B11:D11"/>
    <mergeCell ref="J8:J10"/>
    <mergeCell ref="K8:K10"/>
    <mergeCell ref="L8:L10"/>
    <mergeCell ref="N8:N10"/>
    <mergeCell ref="O8:O10"/>
    <mergeCell ref="B6:D10"/>
    <mergeCell ref="E6:E7"/>
    <mergeCell ref="E8:E10"/>
    <mergeCell ref="F8:F10"/>
    <mergeCell ref="G8:G10"/>
    <mergeCell ref="H8:H10"/>
    <mergeCell ref="J6:M7"/>
    <mergeCell ref="N6:Q7"/>
    <mergeCell ref="P8:P10"/>
    <mergeCell ref="J1:M1"/>
    <mergeCell ref="R1:S1"/>
    <mergeCell ref="B86:D86"/>
    <mergeCell ref="I8:I10"/>
    <mergeCell ref="F6:I7"/>
    <mergeCell ref="M8:M10"/>
    <mergeCell ref="Q8:Q10"/>
    <mergeCell ref="R8:R10"/>
    <mergeCell ref="S8:S10"/>
    <mergeCell ref="A4:C5"/>
    <mergeCell ref="D4:D5"/>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8"/>
  <dimension ref="A1:T161"/>
  <sheetViews>
    <sheetView defaultGridColor="0" colorId="22" zoomScale="90" zoomScaleNormal="90" zoomScaleSheetLayoutView="80" workbookViewId="0">
      <pane xSplit="4" ySplit="10" topLeftCell="E11" activePane="bottomRight" state="frozen"/>
      <selection activeCell="I8" sqref="I8:I10"/>
      <selection pane="topRight" activeCell="I8" sqref="I8:I10"/>
      <selection pane="bottomLeft" activeCell="I8" sqref="I8:I10"/>
      <selection pane="bottomRight" activeCell="J2" sqref="J2"/>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862" t="s">
        <v>235</v>
      </c>
      <c r="K1" s="862"/>
      <c r="L1" s="862"/>
      <c r="M1" s="862"/>
      <c r="N1" s="346"/>
      <c r="O1" s="346"/>
      <c r="P1" s="346"/>
      <c r="Q1" s="346"/>
      <c r="R1" s="863" t="s">
        <v>129</v>
      </c>
      <c r="S1" s="863"/>
    </row>
    <row r="2" spans="1:20" ht="18" customHeight="1" thickBot="1">
      <c r="A2" s="134"/>
      <c r="B2" s="135"/>
      <c r="C2" s="135"/>
      <c r="D2" s="135"/>
      <c r="E2" s="135"/>
      <c r="F2" s="135"/>
      <c r="G2" s="135"/>
      <c r="H2" s="135"/>
      <c r="I2" s="83"/>
      <c r="J2" s="136" t="s">
        <v>162</v>
      </c>
      <c r="K2" s="137">
        <v>2</v>
      </c>
      <c r="L2" s="136" t="s">
        <v>163</v>
      </c>
      <c r="M2" s="138">
        <v>45291</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349">
        <f>'Qtr 1 Budget'!S3</f>
        <v>0</v>
      </c>
    </row>
    <row r="4" spans="1:20" ht="18" customHeight="1" thickTop="1">
      <c r="A4" s="877" t="s">
        <v>0</v>
      </c>
      <c r="B4" s="846"/>
      <c r="C4" s="846"/>
      <c r="D4" s="878" t="str">
        <f>'Annual Budget '!D5</f>
        <v>Redesign Lanier</v>
      </c>
      <c r="E4" s="83"/>
      <c r="F4" s="83"/>
      <c r="G4" s="83"/>
      <c r="H4" s="83"/>
      <c r="I4" s="83"/>
      <c r="J4" s="181"/>
      <c r="K4" s="114"/>
      <c r="L4" s="114"/>
      <c r="M4" s="114"/>
      <c r="N4" s="49"/>
      <c r="O4" s="49"/>
      <c r="P4" s="49"/>
      <c r="Q4" s="83"/>
      <c r="R4" s="81" t="s">
        <v>166</v>
      </c>
      <c r="S4" s="404"/>
    </row>
    <row r="5" spans="1:20" ht="18" customHeight="1" thickBot="1">
      <c r="A5" s="846"/>
      <c r="B5" s="846"/>
      <c r="C5" s="846"/>
      <c r="D5" s="879"/>
      <c r="E5" s="83"/>
      <c r="F5" s="83"/>
      <c r="G5" s="83"/>
      <c r="H5" s="83"/>
      <c r="I5" s="83"/>
      <c r="J5" s="181"/>
      <c r="K5" s="114"/>
      <c r="L5" s="114"/>
      <c r="M5" s="114"/>
      <c r="N5" s="49"/>
      <c r="O5" s="49"/>
      <c r="P5" s="49"/>
      <c r="Q5" s="83"/>
      <c r="R5" s="347" t="s">
        <v>167</v>
      </c>
      <c r="S5" s="349"/>
    </row>
    <row r="6" spans="1:20" ht="36.75" customHeight="1" thickTop="1" thickBot="1">
      <c r="A6" s="182"/>
      <c r="B6" s="891" t="s">
        <v>1</v>
      </c>
      <c r="C6" s="891"/>
      <c r="D6" s="892"/>
      <c r="E6" s="896" t="s">
        <v>2</v>
      </c>
      <c r="F6" s="868" t="s">
        <v>26</v>
      </c>
      <c r="G6" s="868"/>
      <c r="H6" s="868"/>
      <c r="I6" s="868"/>
      <c r="J6" s="900" t="s">
        <v>194</v>
      </c>
      <c r="K6" s="901"/>
      <c r="L6" s="901"/>
      <c r="M6" s="901"/>
      <c r="N6" s="903" t="s">
        <v>159</v>
      </c>
      <c r="O6" s="903"/>
      <c r="P6" s="903"/>
      <c r="Q6" s="904"/>
      <c r="R6" s="83"/>
    </row>
    <row r="7" spans="1:20" ht="16.5" thickTop="1" thickBot="1">
      <c r="A7" s="183"/>
      <c r="B7" s="826"/>
      <c r="C7" s="826"/>
      <c r="D7" s="893"/>
      <c r="E7" s="896"/>
      <c r="F7" s="869"/>
      <c r="G7" s="869"/>
      <c r="H7" s="869"/>
      <c r="I7" s="869"/>
      <c r="J7" s="902"/>
      <c r="K7" s="902"/>
      <c r="L7" s="902"/>
      <c r="M7" s="902"/>
      <c r="N7" s="905"/>
      <c r="O7" s="905"/>
      <c r="P7" s="905"/>
      <c r="Q7" s="906"/>
      <c r="R7" s="83"/>
      <c r="S7" s="83"/>
      <c r="T7" s="83"/>
    </row>
    <row r="8" spans="1:20" ht="16.5" customHeight="1" thickTop="1" thickBot="1">
      <c r="A8" s="183"/>
      <c r="B8" s="826"/>
      <c r="C8" s="826"/>
      <c r="D8" s="893"/>
      <c r="E8" s="897" t="s">
        <v>93</v>
      </c>
      <c r="F8" s="913" t="s">
        <v>169</v>
      </c>
      <c r="G8" s="887" t="s">
        <v>212</v>
      </c>
      <c r="H8" s="911" t="s">
        <v>170</v>
      </c>
      <c r="I8" s="866" t="s">
        <v>193</v>
      </c>
      <c r="J8" s="913" t="s">
        <v>169</v>
      </c>
      <c r="K8" s="887" t="s">
        <v>212</v>
      </c>
      <c r="L8" s="911" t="s">
        <v>170</v>
      </c>
      <c r="M8" s="866" t="s">
        <v>193</v>
      </c>
      <c r="N8" s="913" t="s">
        <v>169</v>
      </c>
      <c r="O8" s="887" t="s">
        <v>212</v>
      </c>
      <c r="P8" s="909" t="s">
        <v>170</v>
      </c>
      <c r="Q8" s="870" t="s">
        <v>193</v>
      </c>
      <c r="R8" s="872" t="s">
        <v>70</v>
      </c>
      <c r="S8" s="875" t="s">
        <v>195</v>
      </c>
      <c r="T8" s="880" t="s">
        <v>103</v>
      </c>
    </row>
    <row r="9" spans="1:20" ht="15" customHeight="1" thickTop="1" thickBot="1">
      <c r="A9" s="183"/>
      <c r="B9" s="826"/>
      <c r="C9" s="826"/>
      <c r="D9" s="893"/>
      <c r="E9" s="898"/>
      <c r="F9" s="914" t="s">
        <v>161</v>
      </c>
      <c r="G9" s="888" t="s">
        <v>160</v>
      </c>
      <c r="H9" s="912" t="s">
        <v>161</v>
      </c>
      <c r="I9" s="867"/>
      <c r="J9" s="914" t="s">
        <v>161</v>
      </c>
      <c r="K9" s="888" t="s">
        <v>160</v>
      </c>
      <c r="L9" s="912" t="s">
        <v>161</v>
      </c>
      <c r="M9" s="867"/>
      <c r="N9" s="914" t="s">
        <v>161</v>
      </c>
      <c r="O9" s="888" t="s">
        <v>160</v>
      </c>
      <c r="P9" s="910" t="s">
        <v>161</v>
      </c>
      <c r="Q9" s="871"/>
      <c r="R9" s="873"/>
      <c r="S9" s="860"/>
      <c r="T9" s="881"/>
    </row>
    <row r="10" spans="1:20" ht="30" customHeight="1" thickTop="1" thickBot="1">
      <c r="A10" s="184"/>
      <c r="B10" s="894"/>
      <c r="C10" s="894"/>
      <c r="D10" s="895"/>
      <c r="E10" s="899"/>
      <c r="F10" s="914"/>
      <c r="G10" s="888"/>
      <c r="H10" s="912"/>
      <c r="I10" s="867"/>
      <c r="J10" s="914"/>
      <c r="K10" s="888"/>
      <c r="L10" s="912"/>
      <c r="M10" s="867"/>
      <c r="N10" s="914"/>
      <c r="O10" s="888"/>
      <c r="P10" s="910"/>
      <c r="Q10" s="871"/>
      <c r="R10" s="874"/>
      <c r="S10" s="876"/>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'Qtr 1 Budget'!H13</f>
        <v>0</v>
      </c>
      <c r="G13" s="392"/>
      <c r="H13" s="247">
        <f>SUM(F13:G13)</f>
        <v>0</v>
      </c>
      <c r="I13" s="393"/>
      <c r="J13" s="246">
        <f>'Qtr 1 Budget'!L13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'Qtr 1 Budget'!L14</f>
        <v>0</v>
      </c>
      <c r="K14" s="392"/>
      <c r="L14" s="247">
        <f t="shared" ref="L14:L21"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'Qtr 1 Budget'!H15</f>
        <v>0</v>
      </c>
      <c r="G15" s="392"/>
      <c r="H15" s="247">
        <f t="shared" ref="H15:H21" si="8">SUM(F15:G15)</f>
        <v>0</v>
      </c>
      <c r="I15" s="393"/>
      <c r="J15" s="246">
        <f>'Qtr 1 Budget'!L15</f>
        <v>0</v>
      </c>
      <c r="K15" s="392"/>
      <c r="L15" s="247">
        <f t="shared" si="2"/>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'Qtr 1 Budget'!H16</f>
        <v>0</v>
      </c>
      <c r="G16" s="392"/>
      <c r="H16" s="247">
        <f t="shared" si="8"/>
        <v>0</v>
      </c>
      <c r="I16" s="393"/>
      <c r="J16" s="246">
        <f>'Qtr 1 Budget'!L16</f>
        <v>0</v>
      </c>
      <c r="K16" s="392"/>
      <c r="L16" s="247">
        <f t="shared" si="2"/>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'Qtr 1 Budget'!H17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0.35666548125726882</v>
      </c>
      <c r="S17" s="252">
        <f t="shared" si="7"/>
        <v>0</v>
      </c>
      <c r="T17" s="407"/>
    </row>
    <row r="18" spans="1:20">
      <c r="A18" s="243">
        <f t="shared" si="1"/>
        <v>8</v>
      </c>
      <c r="B18" s="244"/>
      <c r="C18" s="244" t="s">
        <v>117</v>
      </c>
      <c r="D18" s="231"/>
      <c r="E18" s="245" t="s">
        <v>102</v>
      </c>
      <c r="F18" s="246">
        <f>'Qtr 1 Budget'!H18</f>
        <v>0.37348432425915234</v>
      </c>
      <c r="G18" s="392"/>
      <c r="H18" s="247">
        <f t="shared" si="8"/>
        <v>0.37348432425915234</v>
      </c>
      <c r="I18" s="393"/>
      <c r="J18" s="246">
        <f>'Qtr 1 Budget'!L18</f>
        <v>5218</v>
      </c>
      <c r="K18" s="392"/>
      <c r="L18" s="247">
        <f t="shared" si="2"/>
        <v>5218</v>
      </c>
      <c r="M18" s="393"/>
      <c r="N18" s="249">
        <f t="shared" si="3"/>
        <v>5218.3734843242592</v>
      </c>
      <c r="O18" s="250">
        <f t="shared" si="4"/>
        <v>0</v>
      </c>
      <c r="P18" s="250">
        <f t="shared" si="5"/>
        <v>5218.3734843242592</v>
      </c>
      <c r="Q18" s="240">
        <f t="shared" si="6"/>
        <v>0</v>
      </c>
      <c r="R18" s="251">
        <f t="shared" si="0"/>
        <v>9.5483580359968334E-4</v>
      </c>
      <c r="S18" s="252">
        <f t="shared" si="7"/>
        <v>0</v>
      </c>
      <c r="T18" s="407"/>
    </row>
    <row r="19" spans="1:20">
      <c r="A19" s="243">
        <f t="shared" si="1"/>
        <v>9</v>
      </c>
      <c r="B19" s="396"/>
      <c r="C19" s="396" t="s">
        <v>181</v>
      </c>
      <c r="D19" s="394"/>
      <c r="E19" s="395"/>
      <c r="F19" s="246">
        <f>'Qtr 1 Budget'!H19</f>
        <v>0</v>
      </c>
      <c r="G19" s="392"/>
      <c r="H19" s="247">
        <f t="shared" si="8"/>
        <v>0</v>
      </c>
      <c r="I19" s="393"/>
      <c r="J19" s="246">
        <f>'Qtr 1 Budget'!L19</f>
        <v>0</v>
      </c>
      <c r="K19" s="392"/>
      <c r="L19" s="247">
        <f t="shared" si="2"/>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'Qtr 1 Budget'!H20</f>
        <v>0</v>
      </c>
      <c r="G20" s="392"/>
      <c r="H20" s="247">
        <f t="shared" si="8"/>
        <v>0</v>
      </c>
      <c r="I20" s="393"/>
      <c r="J20" s="246">
        <f>'Qtr 1 Budget'!L20</f>
        <v>0</v>
      </c>
      <c r="K20" s="392"/>
      <c r="L20" s="247">
        <f t="shared" si="2"/>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'Qtr 1 Budget'!H21</f>
        <v>0</v>
      </c>
      <c r="G21" s="392"/>
      <c r="H21" s="247">
        <f t="shared" si="8"/>
        <v>0</v>
      </c>
      <c r="I21" s="393"/>
      <c r="J21" s="246">
        <f>'Qtr 1 Budget'!L21</f>
        <v>0</v>
      </c>
      <c r="K21" s="392"/>
      <c r="L21" s="247">
        <f t="shared" si="2"/>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1949250.3734843242</v>
      </c>
      <c r="G22" s="261">
        <f t="shared" ref="G22:Q22" si="9">SUM(G13:G21)</f>
        <v>0</v>
      </c>
      <c r="H22" s="261">
        <f t="shared" si="9"/>
        <v>1949250.3734843242</v>
      </c>
      <c r="I22" s="262">
        <f t="shared" si="9"/>
        <v>0</v>
      </c>
      <c r="J22" s="260">
        <f t="shared" si="9"/>
        <v>5218</v>
      </c>
      <c r="K22" s="261">
        <f t="shared" si="9"/>
        <v>0</v>
      </c>
      <c r="L22" s="261">
        <f t="shared" si="9"/>
        <v>5218</v>
      </c>
      <c r="M22" s="262">
        <f t="shared" si="9"/>
        <v>0</v>
      </c>
      <c r="N22" s="260">
        <f t="shared" si="9"/>
        <v>1954468.3734843242</v>
      </c>
      <c r="O22" s="261">
        <f t="shared" si="9"/>
        <v>0</v>
      </c>
      <c r="P22" s="261">
        <f t="shared" si="9"/>
        <v>1954468.3734843242</v>
      </c>
      <c r="Q22" s="262">
        <f t="shared" si="9"/>
        <v>0</v>
      </c>
      <c r="R22" s="263">
        <f t="shared" si="0"/>
        <v>0.3576203170608685</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'Qtr 1 Budget'!H26</f>
        <v>1390554.1230767467</v>
      </c>
      <c r="G26" s="392"/>
      <c r="H26" s="247">
        <f t="shared" ref="H26:H38" si="10">SUM(F26:G26)</f>
        <v>1390554.1230767467</v>
      </c>
      <c r="I26" s="393"/>
      <c r="J26" s="253"/>
      <c r="K26" s="254"/>
      <c r="L26" s="254"/>
      <c r="M26" s="255"/>
      <c r="N26" s="246">
        <f>F26+J26</f>
        <v>1390554.1230767467</v>
      </c>
      <c r="O26" s="247">
        <f>K26+G26</f>
        <v>0</v>
      </c>
      <c r="P26" s="247">
        <f>SUM(N26:O26)</f>
        <v>1390554.1230767467</v>
      </c>
      <c r="Q26" s="240">
        <f>M26+I26</f>
        <v>0</v>
      </c>
      <c r="R26" s="251">
        <f>P26/$P$85</f>
        <v>0.25443768399202121</v>
      </c>
      <c r="S26" s="251">
        <f t="shared" ref="S26:S27" si="11">IFERROR(Q26/P26,"")</f>
        <v>0</v>
      </c>
      <c r="T26" s="407"/>
    </row>
    <row r="27" spans="1:20">
      <c r="A27" s="243">
        <f t="shared" si="1"/>
        <v>17</v>
      </c>
      <c r="B27" s="244"/>
      <c r="C27" s="244"/>
      <c r="D27" s="231" t="s">
        <v>47</v>
      </c>
      <c r="E27" s="245">
        <v>3190</v>
      </c>
      <c r="F27" s="246">
        <f>'Qtr 1 Budget'!H27</f>
        <v>0</v>
      </c>
      <c r="G27" s="392"/>
      <c r="H27" s="247">
        <f t="shared" si="10"/>
        <v>0</v>
      </c>
      <c r="I27" s="393"/>
      <c r="J27" s="246">
        <f>'Qtr 1 Budget'!L27</f>
        <v>0</v>
      </c>
      <c r="K27" s="392"/>
      <c r="L27" s="247">
        <f t="shared" ref="L27" si="12">SUM(J27:K27)</f>
        <v>0</v>
      </c>
      <c r="M27" s="393"/>
      <c r="N27" s="246">
        <f>F27+J27</f>
        <v>0</v>
      </c>
      <c r="O27" s="247">
        <f>K27+G27</f>
        <v>0</v>
      </c>
      <c r="P27" s="247">
        <f>SUM(N27:O27)</f>
        <v>0</v>
      </c>
      <c r="Q27" s="240">
        <f>M27+I27</f>
        <v>0</v>
      </c>
      <c r="R27" s="251">
        <f>P27/$P$85</f>
        <v>0</v>
      </c>
      <c r="S27" s="251" t="str">
        <f t="shared" si="11"/>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'Qtr 1 Budget'!H29</f>
        <v>0</v>
      </c>
      <c r="G29" s="392"/>
      <c r="H29" s="247">
        <f t="shared" si="10"/>
        <v>0</v>
      </c>
      <c r="I29" s="393"/>
      <c r="J29" s="246">
        <f>'Qtr 1 Budget'!L29</f>
        <v>0</v>
      </c>
      <c r="K29" s="392"/>
      <c r="L29" s="247">
        <f t="shared" ref="L29:L38" si="13">SUM(J29:K29)</f>
        <v>0</v>
      </c>
      <c r="M29" s="393"/>
      <c r="N29" s="246">
        <f t="shared" ref="N29:N38" si="14">F29+J29</f>
        <v>0</v>
      </c>
      <c r="O29" s="247">
        <f t="shared" ref="O29:O38" si="15">K29+G29</f>
        <v>0</v>
      </c>
      <c r="P29" s="247">
        <f t="shared" ref="P29:P38" si="16">SUM(N29:O29)</f>
        <v>0</v>
      </c>
      <c r="Q29" s="240">
        <f t="shared" ref="Q29:Q38" si="17">M29+I29</f>
        <v>0</v>
      </c>
      <c r="R29" s="251">
        <f t="shared" ref="R29:R39" si="18">P29/$P$85</f>
        <v>0</v>
      </c>
      <c r="S29" s="251" t="str">
        <f t="shared" ref="S29:S39" si="19">IFERROR(Q29/P29,"")</f>
        <v/>
      </c>
      <c r="T29" s="407"/>
    </row>
    <row r="30" spans="1:20">
      <c r="A30" s="243">
        <f t="shared" si="1"/>
        <v>20</v>
      </c>
      <c r="B30" s="244"/>
      <c r="C30" s="244"/>
      <c r="D30" s="231" t="s">
        <v>50</v>
      </c>
      <c r="E30" s="245">
        <v>3230</v>
      </c>
      <c r="F30" s="246">
        <f>'Qtr 1 Budget'!H30</f>
        <v>0</v>
      </c>
      <c r="G30" s="392"/>
      <c r="H30" s="247">
        <f t="shared" si="10"/>
        <v>0</v>
      </c>
      <c r="I30" s="393"/>
      <c r="J30" s="253"/>
      <c r="K30" s="254"/>
      <c r="L30" s="254"/>
      <c r="M30" s="255"/>
      <c r="N30" s="246">
        <f t="shared" si="14"/>
        <v>0</v>
      </c>
      <c r="O30" s="247">
        <f t="shared" si="15"/>
        <v>0</v>
      </c>
      <c r="P30" s="247">
        <f t="shared" si="16"/>
        <v>0</v>
      </c>
      <c r="Q30" s="240">
        <f t="shared" si="17"/>
        <v>0</v>
      </c>
      <c r="R30" s="251">
        <f t="shared" si="18"/>
        <v>0</v>
      </c>
      <c r="S30" s="251" t="str">
        <f t="shared" si="19"/>
        <v/>
      </c>
      <c r="T30" s="407"/>
    </row>
    <row r="31" spans="1:20">
      <c r="A31" s="243">
        <f t="shared" si="1"/>
        <v>21</v>
      </c>
      <c r="B31" s="244"/>
      <c r="C31" s="244"/>
      <c r="D31" s="231" t="s">
        <v>94</v>
      </c>
      <c r="E31" s="245">
        <v>3290</v>
      </c>
      <c r="F31" s="246">
        <f>'Qtr 1 Budget'!H31</f>
        <v>0</v>
      </c>
      <c r="G31" s="392"/>
      <c r="H31" s="247">
        <f t="shared" si="10"/>
        <v>0</v>
      </c>
      <c r="I31" s="393"/>
      <c r="J31" s="246">
        <f>'Qtr 1 Budget'!L31</f>
        <v>0</v>
      </c>
      <c r="K31" s="392"/>
      <c r="L31" s="247">
        <f t="shared" si="13"/>
        <v>0</v>
      </c>
      <c r="M31" s="393"/>
      <c r="N31" s="246">
        <f t="shared" si="14"/>
        <v>0</v>
      </c>
      <c r="O31" s="247">
        <f t="shared" si="15"/>
        <v>0</v>
      </c>
      <c r="P31" s="247">
        <f t="shared" si="16"/>
        <v>0</v>
      </c>
      <c r="Q31" s="240">
        <f t="shared" si="17"/>
        <v>0</v>
      </c>
      <c r="R31" s="251">
        <f t="shared" si="18"/>
        <v>0</v>
      </c>
      <c r="S31" s="251" t="str">
        <f t="shared" si="19"/>
        <v/>
      </c>
      <c r="T31" s="407"/>
    </row>
    <row r="32" spans="1:20">
      <c r="A32" s="243">
        <f t="shared" si="1"/>
        <v>22</v>
      </c>
      <c r="B32" s="244"/>
      <c r="C32" s="244"/>
      <c r="D32" s="231" t="s">
        <v>164</v>
      </c>
      <c r="E32" s="245">
        <v>3240</v>
      </c>
      <c r="F32" s="246">
        <f>'Qtr 1 Budget'!H32</f>
        <v>111600</v>
      </c>
      <c r="G32" s="392"/>
      <c r="H32" s="247">
        <f t="shared" si="10"/>
        <v>111600</v>
      </c>
      <c r="I32" s="393"/>
      <c r="J32" s="246">
        <f>'Qtr 1 Budget'!L32</f>
        <v>0</v>
      </c>
      <c r="K32" s="392"/>
      <c r="L32" s="247">
        <f t="shared" si="13"/>
        <v>0</v>
      </c>
      <c r="M32" s="393"/>
      <c r="N32" s="246">
        <f t="shared" si="14"/>
        <v>111600</v>
      </c>
      <c r="O32" s="247">
        <f t="shared" si="15"/>
        <v>0</v>
      </c>
      <c r="P32" s="247">
        <f t="shared" si="16"/>
        <v>111600</v>
      </c>
      <c r="Q32" s="240">
        <f t="shared" si="17"/>
        <v>0</v>
      </c>
      <c r="R32" s="251">
        <f t="shared" si="18"/>
        <v>2.0420093732620857E-2</v>
      </c>
      <c r="S32" s="251">
        <f t="shared" si="19"/>
        <v>0</v>
      </c>
      <c r="T32" s="407"/>
    </row>
    <row r="33" spans="1:20">
      <c r="A33" s="243">
        <f t="shared" si="1"/>
        <v>23</v>
      </c>
      <c r="B33" s="244"/>
      <c r="C33" s="244"/>
      <c r="D33" s="231" t="s">
        <v>133</v>
      </c>
      <c r="E33" s="245">
        <v>3290</v>
      </c>
      <c r="F33" s="246">
        <f>'Qtr 1 Budget'!H33</f>
        <v>0</v>
      </c>
      <c r="G33" s="392"/>
      <c r="H33" s="247">
        <f t="shared" si="10"/>
        <v>0</v>
      </c>
      <c r="I33" s="393"/>
      <c r="J33" s="246">
        <f>'Qtr 1 Budget'!L33</f>
        <v>0</v>
      </c>
      <c r="K33" s="392"/>
      <c r="L33" s="247">
        <f t="shared" si="13"/>
        <v>0</v>
      </c>
      <c r="M33" s="393"/>
      <c r="N33" s="246">
        <f t="shared" si="14"/>
        <v>0</v>
      </c>
      <c r="O33" s="247">
        <f t="shared" si="15"/>
        <v>0</v>
      </c>
      <c r="P33" s="247">
        <f t="shared" si="16"/>
        <v>0</v>
      </c>
      <c r="Q33" s="240">
        <f t="shared" si="17"/>
        <v>0</v>
      </c>
      <c r="R33" s="251">
        <f t="shared" si="18"/>
        <v>0</v>
      </c>
      <c r="S33" s="251" t="str">
        <f t="shared" si="19"/>
        <v/>
      </c>
      <c r="T33" s="407"/>
    </row>
    <row r="34" spans="1:20">
      <c r="A34" s="243">
        <f t="shared" si="1"/>
        <v>24</v>
      </c>
      <c r="B34" s="244"/>
      <c r="C34" s="244"/>
      <c r="D34" s="231" t="s">
        <v>137</v>
      </c>
      <c r="E34" s="245">
        <v>3290</v>
      </c>
      <c r="F34" s="246">
        <f>'Qtr 1 Budget'!H34</f>
        <v>0</v>
      </c>
      <c r="G34" s="392"/>
      <c r="H34" s="247">
        <f t="shared" si="10"/>
        <v>0</v>
      </c>
      <c r="I34" s="393"/>
      <c r="J34" s="246">
        <f>'Qtr 1 Budget'!L34</f>
        <v>0</v>
      </c>
      <c r="K34" s="392"/>
      <c r="L34" s="247">
        <f t="shared" si="13"/>
        <v>0</v>
      </c>
      <c r="M34" s="393"/>
      <c r="N34" s="246">
        <f t="shared" si="14"/>
        <v>0</v>
      </c>
      <c r="O34" s="247">
        <f t="shared" si="15"/>
        <v>0</v>
      </c>
      <c r="P34" s="247">
        <f t="shared" si="16"/>
        <v>0</v>
      </c>
      <c r="Q34" s="240">
        <f t="shared" si="17"/>
        <v>0</v>
      </c>
      <c r="R34" s="251">
        <f t="shared" si="18"/>
        <v>0</v>
      </c>
      <c r="S34" s="251" t="str">
        <f t="shared" si="19"/>
        <v/>
      </c>
      <c r="T34" s="407"/>
    </row>
    <row r="35" spans="1:20">
      <c r="A35" s="243">
        <f t="shared" si="1"/>
        <v>25</v>
      </c>
      <c r="B35" s="396"/>
      <c r="C35" s="396" t="s">
        <v>181</v>
      </c>
      <c r="D35" s="394"/>
      <c r="E35" s="395"/>
      <c r="F35" s="246">
        <f>'Qtr 1 Budget'!H35</f>
        <v>300000</v>
      </c>
      <c r="G35" s="392"/>
      <c r="H35" s="247">
        <f t="shared" si="10"/>
        <v>300000</v>
      </c>
      <c r="I35" s="393"/>
      <c r="J35" s="246">
        <f>'Qtr 1 Budget'!L35</f>
        <v>0</v>
      </c>
      <c r="K35" s="392"/>
      <c r="L35" s="247">
        <f t="shared" si="13"/>
        <v>0</v>
      </c>
      <c r="M35" s="393"/>
      <c r="N35" s="246">
        <f t="shared" si="14"/>
        <v>300000</v>
      </c>
      <c r="O35" s="247">
        <f t="shared" si="15"/>
        <v>0</v>
      </c>
      <c r="P35" s="247">
        <f t="shared" si="16"/>
        <v>300000</v>
      </c>
      <c r="Q35" s="240">
        <f t="shared" si="17"/>
        <v>0</v>
      </c>
      <c r="R35" s="251">
        <f t="shared" si="18"/>
        <v>5.4892725087690469E-2</v>
      </c>
      <c r="S35" s="251">
        <f t="shared" si="19"/>
        <v>0</v>
      </c>
      <c r="T35" s="407"/>
    </row>
    <row r="36" spans="1:20">
      <c r="A36" s="243">
        <f t="shared" si="1"/>
        <v>26</v>
      </c>
      <c r="B36" s="396"/>
      <c r="C36" s="396" t="s">
        <v>181</v>
      </c>
      <c r="D36" s="394"/>
      <c r="E36" s="395"/>
      <c r="F36" s="246">
        <f>'Qtr 1 Budget'!H36</f>
        <v>0</v>
      </c>
      <c r="G36" s="392"/>
      <c r="H36" s="247">
        <f t="shared" si="10"/>
        <v>0</v>
      </c>
      <c r="I36" s="393"/>
      <c r="J36" s="246">
        <f>'Qtr 1 Budget'!L36</f>
        <v>0</v>
      </c>
      <c r="K36" s="392"/>
      <c r="L36" s="247">
        <f t="shared" si="13"/>
        <v>0</v>
      </c>
      <c r="M36" s="393"/>
      <c r="N36" s="246">
        <f t="shared" si="14"/>
        <v>0</v>
      </c>
      <c r="O36" s="247">
        <f t="shared" si="15"/>
        <v>0</v>
      </c>
      <c r="P36" s="247">
        <f t="shared" si="16"/>
        <v>0</v>
      </c>
      <c r="Q36" s="240">
        <f t="shared" si="17"/>
        <v>0</v>
      </c>
      <c r="R36" s="251">
        <f t="shared" si="18"/>
        <v>0</v>
      </c>
      <c r="S36" s="251" t="str">
        <f t="shared" si="19"/>
        <v/>
      </c>
      <c r="T36" s="407"/>
    </row>
    <row r="37" spans="1:20">
      <c r="A37" s="243">
        <f t="shared" si="1"/>
        <v>27</v>
      </c>
      <c r="B37" s="396"/>
      <c r="C37" s="396" t="s">
        <v>181</v>
      </c>
      <c r="D37" s="394"/>
      <c r="E37" s="397"/>
      <c r="F37" s="246">
        <f>'Qtr 1 Budget'!H37</f>
        <v>0</v>
      </c>
      <c r="G37" s="392"/>
      <c r="H37" s="247">
        <f t="shared" si="10"/>
        <v>0</v>
      </c>
      <c r="I37" s="393"/>
      <c r="J37" s="246">
        <f>'Qtr 1 Budget'!L37</f>
        <v>0</v>
      </c>
      <c r="K37" s="392"/>
      <c r="L37" s="247">
        <f t="shared" si="13"/>
        <v>0</v>
      </c>
      <c r="M37" s="393"/>
      <c r="N37" s="246">
        <f t="shared" si="14"/>
        <v>0</v>
      </c>
      <c r="O37" s="247">
        <f t="shared" si="15"/>
        <v>0</v>
      </c>
      <c r="P37" s="247">
        <f t="shared" si="16"/>
        <v>0</v>
      </c>
      <c r="Q37" s="240">
        <f t="shared" si="17"/>
        <v>0</v>
      </c>
      <c r="R37" s="251">
        <f t="shared" si="18"/>
        <v>0</v>
      </c>
      <c r="S37" s="251" t="str">
        <f t="shared" si="19"/>
        <v/>
      </c>
      <c r="T37" s="407"/>
    </row>
    <row r="38" spans="1:20">
      <c r="A38" s="243">
        <f t="shared" si="1"/>
        <v>28</v>
      </c>
      <c r="B38" s="396"/>
      <c r="C38" s="396" t="s">
        <v>181</v>
      </c>
      <c r="D38" s="394"/>
      <c r="E38" s="397"/>
      <c r="F38" s="246">
        <f>'Qtr 1 Budget'!H38</f>
        <v>0</v>
      </c>
      <c r="G38" s="392"/>
      <c r="H38" s="247">
        <f t="shared" si="10"/>
        <v>0</v>
      </c>
      <c r="I38" s="393"/>
      <c r="J38" s="246">
        <f>'Qtr 1 Budget'!L38</f>
        <v>0</v>
      </c>
      <c r="K38" s="392"/>
      <c r="L38" s="247">
        <f t="shared" si="13"/>
        <v>0</v>
      </c>
      <c r="M38" s="393"/>
      <c r="N38" s="246">
        <f t="shared" si="14"/>
        <v>0</v>
      </c>
      <c r="O38" s="247">
        <f t="shared" si="15"/>
        <v>0</v>
      </c>
      <c r="P38" s="247">
        <f t="shared" si="16"/>
        <v>0</v>
      </c>
      <c r="Q38" s="240">
        <f t="shared" si="17"/>
        <v>0</v>
      </c>
      <c r="R38" s="251">
        <f t="shared" si="18"/>
        <v>0</v>
      </c>
      <c r="S38" s="251" t="str">
        <f t="shared" si="19"/>
        <v/>
      </c>
      <c r="T38" s="407"/>
    </row>
    <row r="39" spans="1:20" ht="18" customHeight="1">
      <c r="A39" s="256">
        <f t="shared" si="1"/>
        <v>29</v>
      </c>
      <c r="B39" s="257" t="s">
        <v>51</v>
      </c>
      <c r="C39" s="257"/>
      <c r="D39" s="258"/>
      <c r="E39" s="259"/>
      <c r="F39" s="260">
        <f t="shared" ref="F39:Q39" si="20">SUM(F26:F38)</f>
        <v>1802154.1230767467</v>
      </c>
      <c r="G39" s="261">
        <f t="shared" si="20"/>
        <v>0</v>
      </c>
      <c r="H39" s="261">
        <f t="shared" si="20"/>
        <v>1802154.1230767467</v>
      </c>
      <c r="I39" s="262">
        <f t="shared" si="20"/>
        <v>0</v>
      </c>
      <c r="J39" s="260">
        <f t="shared" si="20"/>
        <v>0</v>
      </c>
      <c r="K39" s="261">
        <f t="shared" si="20"/>
        <v>0</v>
      </c>
      <c r="L39" s="261">
        <f t="shared" si="20"/>
        <v>0</v>
      </c>
      <c r="M39" s="262">
        <f t="shared" si="20"/>
        <v>0</v>
      </c>
      <c r="N39" s="260">
        <f t="shared" si="20"/>
        <v>1802154.1230767467</v>
      </c>
      <c r="O39" s="261">
        <f t="shared" si="20"/>
        <v>0</v>
      </c>
      <c r="P39" s="261">
        <f t="shared" si="20"/>
        <v>1802154.1230767467</v>
      </c>
      <c r="Q39" s="262">
        <f t="shared" si="20"/>
        <v>0</v>
      </c>
      <c r="R39" s="263">
        <f t="shared" si="18"/>
        <v>0.32975050281233254</v>
      </c>
      <c r="S39" s="263">
        <f t="shared" si="19"/>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'Qtr 1 Budget'!H43</f>
        <v>0</v>
      </c>
      <c r="G43" s="392"/>
      <c r="H43" s="247">
        <f t="shared" ref="H43:H79" si="21">SUM(F43:G43)</f>
        <v>0</v>
      </c>
      <c r="I43" s="393"/>
      <c r="J43" s="253"/>
      <c r="K43" s="254"/>
      <c r="L43" s="254"/>
      <c r="M43" s="255"/>
      <c r="N43" s="246">
        <f t="shared" ref="N43:N44" si="22">F43+J43</f>
        <v>0</v>
      </c>
      <c r="O43" s="247">
        <f t="shared" ref="O43:O44" si="23">K43+G43</f>
        <v>0</v>
      </c>
      <c r="P43" s="247">
        <f t="shared" ref="P43:P44" si="24">SUM(N43:O43)</f>
        <v>0</v>
      </c>
      <c r="Q43" s="240">
        <f t="shared" ref="Q43:Q44" si="25">M43+I43</f>
        <v>0</v>
      </c>
      <c r="R43" s="251">
        <f>P43/$P$85</f>
        <v>0</v>
      </c>
      <c r="S43" s="251" t="str">
        <f t="shared" ref="S43:S44" si="26">IFERROR(Q43/P43,"")</f>
        <v/>
      </c>
      <c r="T43" s="407"/>
    </row>
    <row r="44" spans="1:20">
      <c r="A44" s="243">
        <f t="shared" si="1"/>
        <v>34</v>
      </c>
      <c r="B44" s="244"/>
      <c r="C44" s="244"/>
      <c r="D44" s="231" t="s">
        <v>120</v>
      </c>
      <c r="E44" s="245">
        <v>4190</v>
      </c>
      <c r="F44" s="246">
        <f>'Qtr 1 Budget'!H44</f>
        <v>0</v>
      </c>
      <c r="G44" s="392"/>
      <c r="H44" s="247">
        <f t="shared" si="21"/>
        <v>0</v>
      </c>
      <c r="I44" s="393"/>
      <c r="J44" s="246">
        <f>'Qtr 1 Budget'!L44</f>
        <v>0</v>
      </c>
      <c r="K44" s="392"/>
      <c r="L44" s="247">
        <f t="shared" ref="L44" si="27">SUM(J44:K44)</f>
        <v>0</v>
      </c>
      <c r="M44" s="393"/>
      <c r="N44" s="246">
        <f t="shared" si="22"/>
        <v>0</v>
      </c>
      <c r="O44" s="247">
        <f t="shared" si="23"/>
        <v>0</v>
      </c>
      <c r="P44" s="247">
        <f t="shared" si="24"/>
        <v>0</v>
      </c>
      <c r="Q44" s="240">
        <f t="shared" si="25"/>
        <v>0</v>
      </c>
      <c r="R44" s="251">
        <f>P44/$P$85</f>
        <v>0</v>
      </c>
      <c r="S44" s="251" t="str">
        <f t="shared" si="26"/>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'Qtr 1 Budget'!H46</f>
        <v>0</v>
      </c>
      <c r="G46" s="392"/>
      <c r="H46" s="247">
        <f t="shared" si="21"/>
        <v>0</v>
      </c>
      <c r="I46" s="393"/>
      <c r="J46" s="246">
        <f>'Qtr 1 Budget'!L46</f>
        <v>0</v>
      </c>
      <c r="K46" s="392"/>
      <c r="L46" s="247">
        <f t="shared" ref="L46" si="28">SUM(J46:K46)</f>
        <v>0</v>
      </c>
      <c r="M46" s="393"/>
      <c r="N46" s="246">
        <f t="shared" ref="N46:N47" si="29">F46+J46</f>
        <v>0</v>
      </c>
      <c r="O46" s="247">
        <f t="shared" ref="O46:O47" si="30">K46+G46</f>
        <v>0</v>
      </c>
      <c r="P46" s="247">
        <f t="shared" ref="P46:P47" si="31">SUM(N46:O46)</f>
        <v>0</v>
      </c>
      <c r="Q46" s="240">
        <f t="shared" ref="Q46:Q47" si="32">M46+I46</f>
        <v>0</v>
      </c>
      <c r="R46" s="251">
        <f>P46/$P$85</f>
        <v>0</v>
      </c>
      <c r="S46" s="251" t="str">
        <f t="shared" ref="S46:S48" si="33">IFERROR(Q46/P46,"")</f>
        <v/>
      </c>
      <c r="T46" s="414"/>
    </row>
    <row r="47" spans="1:20">
      <c r="A47" s="243">
        <f t="shared" si="1"/>
        <v>37</v>
      </c>
      <c r="B47" s="244"/>
      <c r="C47" s="244"/>
      <c r="D47" s="231" t="s">
        <v>55</v>
      </c>
      <c r="E47" s="245">
        <v>4390</v>
      </c>
      <c r="F47" s="246">
        <f>'Qtr 1 Budget'!H47</f>
        <v>0</v>
      </c>
      <c r="G47" s="392"/>
      <c r="H47" s="247">
        <f t="shared" si="21"/>
        <v>0</v>
      </c>
      <c r="I47" s="393"/>
      <c r="J47" s="253"/>
      <c r="K47" s="254"/>
      <c r="L47" s="254"/>
      <c r="M47" s="255"/>
      <c r="N47" s="246">
        <f t="shared" si="29"/>
        <v>0</v>
      </c>
      <c r="O47" s="247">
        <f t="shared" si="30"/>
        <v>0</v>
      </c>
      <c r="P47" s="247">
        <f t="shared" si="31"/>
        <v>0</v>
      </c>
      <c r="Q47" s="240">
        <f t="shared" si="32"/>
        <v>0</v>
      </c>
      <c r="R47" s="251">
        <f>P47/$P$85</f>
        <v>0</v>
      </c>
      <c r="S47" s="251" t="str">
        <f t="shared" si="33"/>
        <v/>
      </c>
      <c r="T47" s="407"/>
    </row>
    <row r="48" spans="1:20">
      <c r="A48" s="243">
        <f t="shared" si="1"/>
        <v>38</v>
      </c>
      <c r="B48" s="244"/>
      <c r="C48" s="244"/>
      <c r="D48" s="231"/>
      <c r="E48" s="245"/>
      <c r="F48" s="246">
        <f>'Qtr 1 Budget'!H48</f>
        <v>0</v>
      </c>
      <c r="G48" s="392"/>
      <c r="H48" s="247">
        <f t="shared" si="21"/>
        <v>0</v>
      </c>
      <c r="I48" s="393"/>
      <c r="J48" s="246">
        <f>'Qtr 1 Budget'!L48</f>
        <v>0</v>
      </c>
      <c r="K48" s="392"/>
      <c r="L48" s="247">
        <f t="shared" ref="L48:L51" si="34">SUM(J48:K48)</f>
        <v>0</v>
      </c>
      <c r="M48" s="393"/>
      <c r="N48" s="246">
        <f>F48+J48</f>
        <v>0</v>
      </c>
      <c r="O48" s="247">
        <f>K48+G48</f>
        <v>0</v>
      </c>
      <c r="P48" s="247">
        <f>SUM(N48:O48)</f>
        <v>0</v>
      </c>
      <c r="Q48" s="240">
        <f>M48+I48</f>
        <v>0</v>
      </c>
      <c r="R48" s="251">
        <f>P48/$P$85</f>
        <v>0</v>
      </c>
      <c r="S48" s="251" t="str">
        <f t="shared" si="33"/>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'Qtr 1 Budget'!L50</f>
        <v>0</v>
      </c>
      <c r="K50" s="392"/>
      <c r="L50" s="247">
        <f t="shared" si="34"/>
        <v>0</v>
      </c>
      <c r="M50" s="393"/>
      <c r="N50" s="246">
        <f t="shared" ref="N50:N51" si="35">F50+J50</f>
        <v>0</v>
      </c>
      <c r="O50" s="247">
        <f t="shared" ref="O50:O51" si="36">K50+G50</f>
        <v>0</v>
      </c>
      <c r="P50" s="247">
        <f t="shared" ref="P50:P51" si="37">SUM(N50:O50)</f>
        <v>0</v>
      </c>
      <c r="Q50" s="240">
        <f t="shared" ref="Q50:Q51" si="38">M50+I50</f>
        <v>0</v>
      </c>
      <c r="R50" s="251">
        <f>P50/$P$85</f>
        <v>0</v>
      </c>
      <c r="S50" s="251" t="str">
        <f t="shared" ref="S50:S51" si="39">IFERROR(Q50/P50,"")</f>
        <v/>
      </c>
      <c r="T50" s="407"/>
    </row>
    <row r="51" spans="1:20">
      <c r="A51" s="243">
        <f t="shared" si="1"/>
        <v>41</v>
      </c>
      <c r="B51" s="244"/>
      <c r="C51" s="244"/>
      <c r="D51" s="231" t="s">
        <v>3</v>
      </c>
      <c r="E51" s="245">
        <v>4515</v>
      </c>
      <c r="F51" s="249"/>
      <c r="G51" s="250"/>
      <c r="H51" s="250"/>
      <c r="I51" s="240"/>
      <c r="J51" s="246">
        <f>'Qtr 1 Budget'!L51</f>
        <v>253953.58336078693</v>
      </c>
      <c r="K51" s="392"/>
      <c r="L51" s="247">
        <f t="shared" si="34"/>
        <v>253953.58336078693</v>
      </c>
      <c r="M51" s="393"/>
      <c r="N51" s="246">
        <f t="shared" si="35"/>
        <v>253953.58336078693</v>
      </c>
      <c r="O51" s="247">
        <f t="shared" si="36"/>
        <v>0</v>
      </c>
      <c r="P51" s="247">
        <f t="shared" si="37"/>
        <v>253953.58336078693</v>
      </c>
      <c r="Q51" s="240">
        <f t="shared" si="38"/>
        <v>0</v>
      </c>
      <c r="R51" s="251">
        <f>P51/$P$85</f>
        <v>4.6467347454858539E-2</v>
      </c>
      <c r="S51" s="251">
        <f t="shared" si="39"/>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'Qtr 1 Budget'!L53</f>
        <v>54419</v>
      </c>
      <c r="K53" s="392"/>
      <c r="L53" s="247">
        <f t="shared" ref="L53:L56" si="40">SUM(J53:K53)</f>
        <v>54419</v>
      </c>
      <c r="M53" s="393"/>
      <c r="N53" s="246">
        <f t="shared" ref="N53:N56" si="41">F53+J53</f>
        <v>54419</v>
      </c>
      <c r="O53" s="247">
        <f t="shared" ref="O53:O56" si="42">K53+G53</f>
        <v>0</v>
      </c>
      <c r="P53" s="247">
        <f t="shared" ref="P53:P56" si="43">SUM(N53:O53)</f>
        <v>54419</v>
      </c>
      <c r="Q53" s="240">
        <f t="shared" ref="Q53:Q56" si="44">M53+I53</f>
        <v>0</v>
      </c>
      <c r="R53" s="251">
        <f>P53/$P$85</f>
        <v>9.9573573551567599E-3</v>
      </c>
      <c r="S53" s="251">
        <f t="shared" ref="S53:S56" si="45">IFERROR(Q53/P53,"")</f>
        <v>0</v>
      </c>
      <c r="T53" s="407"/>
    </row>
    <row r="54" spans="1:20">
      <c r="A54" s="243">
        <f t="shared" si="1"/>
        <v>44</v>
      </c>
      <c r="B54" s="244"/>
      <c r="C54" s="244"/>
      <c r="D54" s="231" t="s">
        <v>59</v>
      </c>
      <c r="E54" s="245" t="s">
        <v>60</v>
      </c>
      <c r="F54" s="249"/>
      <c r="G54" s="250"/>
      <c r="H54" s="250"/>
      <c r="I54" s="240"/>
      <c r="J54" s="246">
        <f>'Qtr 1 Budget'!L54</f>
        <v>3500</v>
      </c>
      <c r="K54" s="392"/>
      <c r="L54" s="247">
        <f t="shared" si="40"/>
        <v>3500</v>
      </c>
      <c r="M54" s="393"/>
      <c r="N54" s="246">
        <f t="shared" si="41"/>
        <v>3500</v>
      </c>
      <c r="O54" s="247">
        <f t="shared" si="42"/>
        <v>0</v>
      </c>
      <c r="P54" s="247">
        <f t="shared" si="43"/>
        <v>3500</v>
      </c>
      <c r="Q54" s="240">
        <f t="shared" si="44"/>
        <v>0</v>
      </c>
      <c r="R54" s="251">
        <f>P54/$P$85</f>
        <v>6.4041512602305546E-4</v>
      </c>
      <c r="S54" s="251">
        <f t="shared" si="45"/>
        <v>0</v>
      </c>
      <c r="T54" s="407"/>
    </row>
    <row r="55" spans="1:20">
      <c r="A55" s="243">
        <f t="shared" si="1"/>
        <v>45</v>
      </c>
      <c r="B55" s="244"/>
      <c r="C55" s="244"/>
      <c r="D55" s="231" t="s">
        <v>140</v>
      </c>
      <c r="E55" s="245">
        <v>4535</v>
      </c>
      <c r="F55" s="249"/>
      <c r="G55" s="250"/>
      <c r="H55" s="250"/>
      <c r="I55" s="240"/>
      <c r="J55" s="246">
        <f>'Qtr 1 Budget'!L55</f>
        <v>0</v>
      </c>
      <c r="K55" s="392"/>
      <c r="L55" s="247">
        <f t="shared" si="40"/>
        <v>0</v>
      </c>
      <c r="M55" s="393"/>
      <c r="N55" s="246">
        <f t="shared" si="41"/>
        <v>0</v>
      </c>
      <c r="O55" s="247">
        <f t="shared" si="42"/>
        <v>0</v>
      </c>
      <c r="P55" s="247">
        <f t="shared" si="43"/>
        <v>0</v>
      </c>
      <c r="Q55" s="240">
        <f t="shared" si="44"/>
        <v>0</v>
      </c>
      <c r="R55" s="251">
        <f>P55/$P$85</f>
        <v>0</v>
      </c>
      <c r="S55" s="251" t="str">
        <f t="shared" si="45"/>
        <v/>
      </c>
      <c r="T55" s="407"/>
    </row>
    <row r="56" spans="1:20">
      <c r="A56" s="243">
        <f t="shared" si="1"/>
        <v>46</v>
      </c>
      <c r="B56" s="244"/>
      <c r="C56" s="244"/>
      <c r="D56" s="231" t="s">
        <v>61</v>
      </c>
      <c r="E56" s="245" t="s">
        <v>62</v>
      </c>
      <c r="F56" s="249"/>
      <c r="G56" s="250"/>
      <c r="H56" s="250"/>
      <c r="I56" s="240"/>
      <c r="J56" s="246">
        <f>'Qtr 1 Budget'!L56</f>
        <v>0</v>
      </c>
      <c r="K56" s="392"/>
      <c r="L56" s="247">
        <f t="shared" si="40"/>
        <v>0</v>
      </c>
      <c r="M56" s="393"/>
      <c r="N56" s="246">
        <f t="shared" si="41"/>
        <v>0</v>
      </c>
      <c r="O56" s="247">
        <f t="shared" si="42"/>
        <v>0</v>
      </c>
      <c r="P56" s="247">
        <f t="shared" si="43"/>
        <v>0</v>
      </c>
      <c r="Q56" s="240">
        <f t="shared" si="44"/>
        <v>0</v>
      </c>
      <c r="R56" s="251">
        <f>P56/$P$85</f>
        <v>0</v>
      </c>
      <c r="S56" s="251" t="str">
        <f t="shared" si="45"/>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'Qtr 1 Budget'!L58</f>
        <v>750000</v>
      </c>
      <c r="K58" s="392"/>
      <c r="L58" s="247">
        <f t="shared" ref="L58:L79" si="46">SUM(J58:K58)</f>
        <v>750000</v>
      </c>
      <c r="M58" s="393"/>
      <c r="N58" s="246">
        <f t="shared" ref="N58:N79" si="47">F58+J58</f>
        <v>750000</v>
      </c>
      <c r="O58" s="247">
        <f t="shared" ref="O58:O79" si="48">K58+G58</f>
        <v>0</v>
      </c>
      <c r="P58" s="247">
        <f t="shared" ref="P58:P79" si="49">SUM(N58:O58)</f>
        <v>750000</v>
      </c>
      <c r="Q58" s="240">
        <f t="shared" ref="Q58:Q79" si="50">M58+I58</f>
        <v>0</v>
      </c>
      <c r="R58" s="251">
        <f t="shared" ref="R58:R65" si="51">P58/$P$85</f>
        <v>0.13723181271922619</v>
      </c>
      <c r="S58" s="251">
        <f t="shared" ref="S58:S65" si="52">IFERROR(Q58/P58,"")</f>
        <v>0</v>
      </c>
      <c r="T58" s="407"/>
    </row>
    <row r="59" spans="1:20">
      <c r="A59" s="243">
        <f t="shared" si="1"/>
        <v>49</v>
      </c>
      <c r="B59" s="244"/>
      <c r="C59" s="244"/>
      <c r="D59" s="231" t="s">
        <v>136</v>
      </c>
      <c r="E59" s="245">
        <v>4550</v>
      </c>
      <c r="F59" s="249"/>
      <c r="G59" s="250"/>
      <c r="H59" s="250"/>
      <c r="I59" s="240"/>
      <c r="J59" s="246">
        <f>'Qtr 1 Budget'!L59</f>
        <v>0</v>
      </c>
      <c r="K59" s="392"/>
      <c r="L59" s="247">
        <f t="shared" si="46"/>
        <v>0</v>
      </c>
      <c r="M59" s="393"/>
      <c r="N59" s="246">
        <f t="shared" si="47"/>
        <v>0</v>
      </c>
      <c r="O59" s="247">
        <f t="shared" si="48"/>
        <v>0</v>
      </c>
      <c r="P59" s="247">
        <f t="shared" si="49"/>
        <v>0</v>
      </c>
      <c r="Q59" s="240">
        <f t="shared" si="50"/>
        <v>0</v>
      </c>
      <c r="R59" s="251">
        <f t="shared" si="51"/>
        <v>0</v>
      </c>
      <c r="S59" s="251" t="str">
        <f t="shared" si="52"/>
        <v/>
      </c>
      <c r="T59" s="407"/>
    </row>
    <row r="60" spans="1:20">
      <c r="A60" s="243">
        <f t="shared" si="1"/>
        <v>50</v>
      </c>
      <c r="B60" s="244"/>
      <c r="C60" s="244"/>
      <c r="D60" s="231" t="s">
        <v>64</v>
      </c>
      <c r="E60" s="245" t="s">
        <v>65</v>
      </c>
      <c r="F60" s="249"/>
      <c r="G60" s="250"/>
      <c r="H60" s="250"/>
      <c r="I60" s="240"/>
      <c r="J60" s="246">
        <f>'Qtr 1 Budget'!L60</f>
        <v>0</v>
      </c>
      <c r="K60" s="392"/>
      <c r="L60" s="247">
        <f t="shared" si="46"/>
        <v>0</v>
      </c>
      <c r="M60" s="393"/>
      <c r="N60" s="246">
        <f t="shared" si="47"/>
        <v>0</v>
      </c>
      <c r="O60" s="247">
        <f t="shared" si="48"/>
        <v>0</v>
      </c>
      <c r="P60" s="247">
        <f t="shared" si="49"/>
        <v>0</v>
      </c>
      <c r="Q60" s="240">
        <f t="shared" si="50"/>
        <v>0</v>
      </c>
      <c r="R60" s="251">
        <f t="shared" si="51"/>
        <v>0</v>
      </c>
      <c r="S60" s="251" t="str">
        <f t="shared" si="52"/>
        <v/>
      </c>
      <c r="T60" s="407"/>
    </row>
    <row r="61" spans="1:20">
      <c r="A61" s="243">
        <f t="shared" si="1"/>
        <v>51</v>
      </c>
      <c r="B61" s="244"/>
      <c r="C61" s="244"/>
      <c r="D61" s="231" t="s">
        <v>142</v>
      </c>
      <c r="E61" s="245" t="s">
        <v>66</v>
      </c>
      <c r="F61" s="249"/>
      <c r="G61" s="250"/>
      <c r="H61" s="250"/>
      <c r="I61" s="240"/>
      <c r="J61" s="246">
        <f>'Qtr 1 Budget'!L61</f>
        <v>27778</v>
      </c>
      <c r="K61" s="392"/>
      <c r="L61" s="247">
        <f t="shared" si="46"/>
        <v>27778</v>
      </c>
      <c r="M61" s="393"/>
      <c r="N61" s="246">
        <f t="shared" si="47"/>
        <v>27778</v>
      </c>
      <c r="O61" s="247">
        <f t="shared" si="48"/>
        <v>0</v>
      </c>
      <c r="P61" s="247">
        <f t="shared" si="49"/>
        <v>27778</v>
      </c>
      <c r="Q61" s="240">
        <f t="shared" si="50"/>
        <v>0</v>
      </c>
      <c r="R61" s="251">
        <f t="shared" si="51"/>
        <v>5.0827003916195527E-3</v>
      </c>
      <c r="S61" s="251">
        <f t="shared" si="52"/>
        <v>0</v>
      </c>
      <c r="T61" s="407"/>
    </row>
    <row r="62" spans="1:20">
      <c r="A62" s="243">
        <f t="shared" si="1"/>
        <v>52</v>
      </c>
      <c r="B62" s="244"/>
      <c r="C62" s="244"/>
      <c r="D62" s="231" t="s">
        <v>151</v>
      </c>
      <c r="E62" s="245" t="s">
        <v>67</v>
      </c>
      <c r="F62" s="249"/>
      <c r="G62" s="250"/>
      <c r="H62" s="250"/>
      <c r="I62" s="240"/>
      <c r="J62" s="246">
        <f>'Qtr 1 Budget'!L62</f>
        <v>18932</v>
      </c>
      <c r="K62" s="392"/>
      <c r="L62" s="247">
        <f t="shared" si="46"/>
        <v>18932</v>
      </c>
      <c r="M62" s="393"/>
      <c r="N62" s="246">
        <f t="shared" si="47"/>
        <v>18932</v>
      </c>
      <c r="O62" s="247">
        <f t="shared" si="48"/>
        <v>0</v>
      </c>
      <c r="P62" s="247">
        <f t="shared" si="49"/>
        <v>18932</v>
      </c>
      <c r="Q62" s="240">
        <f t="shared" si="50"/>
        <v>0</v>
      </c>
      <c r="R62" s="251">
        <f t="shared" si="51"/>
        <v>3.4640969045338535E-3</v>
      </c>
      <c r="S62" s="251">
        <f t="shared" si="52"/>
        <v>0</v>
      </c>
      <c r="T62" s="407"/>
    </row>
    <row r="63" spans="1:20">
      <c r="A63" s="243">
        <f t="shared" si="1"/>
        <v>53</v>
      </c>
      <c r="B63" s="244"/>
      <c r="C63" s="244"/>
      <c r="D63" s="231" t="s">
        <v>143</v>
      </c>
      <c r="E63" s="245">
        <v>4559</v>
      </c>
      <c r="F63" s="249"/>
      <c r="G63" s="250"/>
      <c r="H63" s="250"/>
      <c r="I63" s="240"/>
      <c r="J63" s="246">
        <f>'Qtr 1 Budget'!L63</f>
        <v>0</v>
      </c>
      <c r="K63" s="392"/>
      <c r="L63" s="247">
        <f t="shared" si="46"/>
        <v>0</v>
      </c>
      <c r="M63" s="393"/>
      <c r="N63" s="246">
        <f t="shared" si="47"/>
        <v>0</v>
      </c>
      <c r="O63" s="247">
        <f t="shared" si="48"/>
        <v>0</v>
      </c>
      <c r="P63" s="247">
        <f t="shared" si="49"/>
        <v>0</v>
      </c>
      <c r="Q63" s="240">
        <f t="shared" si="50"/>
        <v>0</v>
      </c>
      <c r="R63" s="251">
        <f t="shared" si="51"/>
        <v>0</v>
      </c>
      <c r="S63" s="251" t="str">
        <f t="shared" si="52"/>
        <v/>
      </c>
      <c r="T63" s="407"/>
    </row>
    <row r="64" spans="1:20">
      <c r="A64" s="243">
        <f t="shared" si="1"/>
        <v>54</v>
      </c>
      <c r="B64" s="244"/>
      <c r="C64" s="244"/>
      <c r="D64" s="231" t="s">
        <v>152</v>
      </c>
      <c r="E64" s="245">
        <v>4553</v>
      </c>
      <c r="F64" s="249"/>
      <c r="G64" s="250"/>
      <c r="H64" s="250"/>
      <c r="I64" s="240"/>
      <c r="J64" s="246">
        <f>'Qtr 1 Budget'!L64</f>
        <v>0</v>
      </c>
      <c r="K64" s="392"/>
      <c r="L64" s="247">
        <f t="shared" si="46"/>
        <v>0</v>
      </c>
      <c r="M64" s="393"/>
      <c r="N64" s="246">
        <f t="shared" si="47"/>
        <v>0</v>
      </c>
      <c r="O64" s="247">
        <f t="shared" si="48"/>
        <v>0</v>
      </c>
      <c r="P64" s="247">
        <f t="shared" si="49"/>
        <v>0</v>
      </c>
      <c r="Q64" s="240">
        <f t="shared" si="50"/>
        <v>0</v>
      </c>
      <c r="R64" s="251">
        <f t="shared" si="51"/>
        <v>0</v>
      </c>
      <c r="S64" s="251" t="str">
        <f t="shared" si="52"/>
        <v/>
      </c>
      <c r="T64" s="407"/>
    </row>
    <row r="65" spans="1:20">
      <c r="A65" s="243">
        <f t="shared" si="1"/>
        <v>55</v>
      </c>
      <c r="B65" s="244"/>
      <c r="C65" s="244"/>
      <c r="D65" s="231" t="s">
        <v>141</v>
      </c>
      <c r="E65" s="245">
        <v>4559</v>
      </c>
      <c r="F65" s="249"/>
      <c r="G65" s="250"/>
      <c r="H65" s="250"/>
      <c r="I65" s="240"/>
      <c r="J65" s="246">
        <f>'Qtr 1 Budget'!L65</f>
        <v>0</v>
      </c>
      <c r="K65" s="392"/>
      <c r="L65" s="247">
        <f t="shared" si="46"/>
        <v>0</v>
      </c>
      <c r="M65" s="393"/>
      <c r="N65" s="246">
        <f t="shared" si="47"/>
        <v>0</v>
      </c>
      <c r="O65" s="247">
        <f t="shared" si="48"/>
        <v>0</v>
      </c>
      <c r="P65" s="247">
        <f t="shared" si="49"/>
        <v>0</v>
      </c>
      <c r="Q65" s="240">
        <f t="shared" si="50"/>
        <v>0</v>
      </c>
      <c r="R65" s="251">
        <f t="shared" si="51"/>
        <v>0</v>
      </c>
      <c r="S65" s="251" t="str">
        <f t="shared" si="52"/>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'Qtr 1 Budget'!L67</f>
        <v>0</v>
      </c>
      <c r="K67" s="392"/>
      <c r="L67" s="247">
        <f t="shared" si="46"/>
        <v>0</v>
      </c>
      <c r="M67" s="393"/>
      <c r="N67" s="246">
        <f t="shared" si="47"/>
        <v>0</v>
      </c>
      <c r="O67" s="247">
        <f t="shared" si="48"/>
        <v>0</v>
      </c>
      <c r="P67" s="247">
        <f t="shared" si="49"/>
        <v>0</v>
      </c>
      <c r="Q67" s="240">
        <f t="shared" si="50"/>
        <v>0</v>
      </c>
      <c r="R67" s="251">
        <f t="shared" ref="R67:R80" si="53">P67/$P$85</f>
        <v>0</v>
      </c>
      <c r="S67" s="251" t="str">
        <f t="shared" ref="S67:S79" si="54">IFERROR(Q67/P67,"")</f>
        <v/>
      </c>
      <c r="T67" s="407"/>
    </row>
    <row r="68" spans="1:20">
      <c r="A68" s="243">
        <f t="shared" si="1"/>
        <v>58</v>
      </c>
      <c r="B68" s="244"/>
      <c r="C68" s="244"/>
      <c r="D68" s="231" t="s">
        <v>154</v>
      </c>
      <c r="E68" s="245">
        <v>4590</v>
      </c>
      <c r="F68" s="249"/>
      <c r="G68" s="250"/>
      <c r="H68" s="250"/>
      <c r="I68" s="240"/>
      <c r="J68" s="246">
        <f>'Qtr 1 Budget'!L68</f>
        <v>0</v>
      </c>
      <c r="K68" s="392"/>
      <c r="L68" s="247">
        <f t="shared" si="46"/>
        <v>0</v>
      </c>
      <c r="M68" s="393"/>
      <c r="N68" s="246">
        <f t="shared" si="47"/>
        <v>0</v>
      </c>
      <c r="O68" s="247">
        <f t="shared" si="48"/>
        <v>0</v>
      </c>
      <c r="P68" s="247">
        <f t="shared" si="49"/>
        <v>0</v>
      </c>
      <c r="Q68" s="240">
        <f t="shared" si="50"/>
        <v>0</v>
      </c>
      <c r="R68" s="251">
        <f t="shared" si="53"/>
        <v>0</v>
      </c>
      <c r="S68" s="251" t="str">
        <f t="shared" si="54"/>
        <v/>
      </c>
      <c r="T68" s="407"/>
    </row>
    <row r="69" spans="1:20">
      <c r="A69" s="243">
        <f t="shared" si="1"/>
        <v>59</v>
      </c>
      <c r="B69" s="244"/>
      <c r="C69" s="244"/>
      <c r="D69" s="231" t="s">
        <v>155</v>
      </c>
      <c r="E69" s="245">
        <v>4590</v>
      </c>
      <c r="F69" s="249"/>
      <c r="G69" s="250"/>
      <c r="H69" s="250"/>
      <c r="I69" s="240"/>
      <c r="J69" s="246">
        <f>'Qtr 1 Budget'!L69</f>
        <v>0</v>
      </c>
      <c r="K69" s="392"/>
      <c r="L69" s="247">
        <f t="shared" si="46"/>
        <v>0</v>
      </c>
      <c r="M69" s="393"/>
      <c r="N69" s="246">
        <f t="shared" si="47"/>
        <v>0</v>
      </c>
      <c r="O69" s="247">
        <f t="shared" si="48"/>
        <v>0</v>
      </c>
      <c r="P69" s="247">
        <f t="shared" si="49"/>
        <v>0</v>
      </c>
      <c r="Q69" s="240">
        <f t="shared" si="50"/>
        <v>0</v>
      </c>
      <c r="R69" s="251">
        <f t="shared" si="53"/>
        <v>0</v>
      </c>
      <c r="S69" s="251" t="str">
        <f t="shared" si="54"/>
        <v/>
      </c>
      <c r="T69" s="407"/>
    </row>
    <row r="70" spans="1:20">
      <c r="A70" s="243">
        <f t="shared" si="1"/>
        <v>60</v>
      </c>
      <c r="B70" s="244"/>
      <c r="C70" s="244"/>
      <c r="D70" s="231" t="s">
        <v>156</v>
      </c>
      <c r="E70" s="245">
        <v>4590</v>
      </c>
      <c r="F70" s="249"/>
      <c r="G70" s="250"/>
      <c r="H70" s="250"/>
      <c r="I70" s="240"/>
      <c r="J70" s="246">
        <f>'Qtr 1 Budget'!L70</f>
        <v>600000</v>
      </c>
      <c r="K70" s="392"/>
      <c r="L70" s="247">
        <f t="shared" si="46"/>
        <v>600000</v>
      </c>
      <c r="M70" s="393"/>
      <c r="N70" s="246">
        <f t="shared" si="47"/>
        <v>600000</v>
      </c>
      <c r="O70" s="247">
        <f t="shared" si="48"/>
        <v>0</v>
      </c>
      <c r="P70" s="247">
        <f t="shared" si="49"/>
        <v>600000</v>
      </c>
      <c r="Q70" s="240">
        <f t="shared" si="50"/>
        <v>0</v>
      </c>
      <c r="R70" s="251">
        <f t="shared" si="53"/>
        <v>0.10978545017538094</v>
      </c>
      <c r="S70" s="251">
        <f t="shared" si="54"/>
        <v>0</v>
      </c>
      <c r="T70" s="407"/>
    </row>
    <row r="71" spans="1:20">
      <c r="A71" s="243">
        <f t="shared" si="1"/>
        <v>61</v>
      </c>
      <c r="B71" s="244"/>
      <c r="C71" s="244"/>
      <c r="D71" s="231" t="s">
        <v>157</v>
      </c>
      <c r="E71" s="245">
        <v>4590</v>
      </c>
      <c r="F71" s="249"/>
      <c r="G71" s="250"/>
      <c r="H71" s="250"/>
      <c r="I71" s="240"/>
      <c r="J71" s="246">
        <f>'Qtr 1 Budget'!L71</f>
        <v>0</v>
      </c>
      <c r="K71" s="392"/>
      <c r="L71" s="247">
        <f t="shared" si="46"/>
        <v>0</v>
      </c>
      <c r="M71" s="393"/>
      <c r="N71" s="246">
        <f t="shared" si="47"/>
        <v>0</v>
      </c>
      <c r="O71" s="247">
        <f t="shared" si="48"/>
        <v>0</v>
      </c>
      <c r="P71" s="247">
        <f t="shared" si="49"/>
        <v>0</v>
      </c>
      <c r="Q71" s="240">
        <f t="shared" si="50"/>
        <v>0</v>
      </c>
      <c r="R71" s="251">
        <f t="shared" si="53"/>
        <v>0</v>
      </c>
      <c r="S71" s="251" t="str">
        <f t="shared" si="54"/>
        <v/>
      </c>
      <c r="T71" s="407"/>
    </row>
    <row r="72" spans="1:20">
      <c r="A72" s="243">
        <f t="shared" si="1"/>
        <v>62</v>
      </c>
      <c r="B72" s="244"/>
      <c r="C72" s="244"/>
      <c r="D72" s="231" t="s">
        <v>211</v>
      </c>
      <c r="E72" s="245">
        <v>4590</v>
      </c>
      <c r="F72" s="249"/>
      <c r="G72" s="250"/>
      <c r="H72" s="250"/>
      <c r="I72" s="240"/>
      <c r="J72" s="246">
        <f>'Qtr 1 Budget'!L72</f>
        <v>0</v>
      </c>
      <c r="K72" s="392"/>
      <c r="L72" s="247">
        <f t="shared" si="46"/>
        <v>0</v>
      </c>
      <c r="M72" s="393"/>
      <c r="N72" s="246">
        <f t="shared" si="47"/>
        <v>0</v>
      </c>
      <c r="O72" s="247">
        <f t="shared" si="48"/>
        <v>0</v>
      </c>
      <c r="P72" s="247">
        <f t="shared" si="49"/>
        <v>0</v>
      </c>
      <c r="Q72" s="240">
        <f t="shared" si="50"/>
        <v>0</v>
      </c>
      <c r="R72" s="251">
        <f t="shared" si="53"/>
        <v>0</v>
      </c>
      <c r="S72" s="251" t="str">
        <f t="shared" si="54"/>
        <v/>
      </c>
      <c r="T72" s="407"/>
    </row>
    <row r="73" spans="1:20">
      <c r="A73" s="243">
        <f t="shared" si="1"/>
        <v>63</v>
      </c>
      <c r="B73" s="244"/>
      <c r="C73" s="244"/>
      <c r="D73" s="231" t="s">
        <v>113</v>
      </c>
      <c r="E73" s="245">
        <v>4580</v>
      </c>
      <c r="F73" s="249"/>
      <c r="G73" s="250"/>
      <c r="H73" s="250"/>
      <c r="I73" s="240"/>
      <c r="J73" s="246">
        <f>'Qtr 1 Budget'!L73</f>
        <v>0</v>
      </c>
      <c r="K73" s="392"/>
      <c r="L73" s="247">
        <f t="shared" si="46"/>
        <v>0</v>
      </c>
      <c r="M73" s="393"/>
      <c r="N73" s="246">
        <f t="shared" si="47"/>
        <v>0</v>
      </c>
      <c r="O73" s="247">
        <f t="shared" si="48"/>
        <v>0</v>
      </c>
      <c r="P73" s="247">
        <f t="shared" si="49"/>
        <v>0</v>
      </c>
      <c r="Q73" s="240">
        <f t="shared" si="50"/>
        <v>0</v>
      </c>
      <c r="R73" s="251">
        <f t="shared" si="53"/>
        <v>0</v>
      </c>
      <c r="S73" s="251" t="str">
        <f t="shared" si="54"/>
        <v/>
      </c>
      <c r="T73" s="407"/>
    </row>
    <row r="74" spans="1:20">
      <c r="A74" s="243">
        <f t="shared" si="1"/>
        <v>64</v>
      </c>
      <c r="B74" s="244"/>
      <c r="C74" s="244"/>
      <c r="D74" s="231" t="s">
        <v>190</v>
      </c>
      <c r="E74" s="245" t="s">
        <v>68</v>
      </c>
      <c r="F74" s="249"/>
      <c r="G74" s="250"/>
      <c r="H74" s="250"/>
      <c r="I74" s="240"/>
      <c r="J74" s="246">
        <f>'Qtr 1 Budget'!L74</f>
        <v>0</v>
      </c>
      <c r="K74" s="392"/>
      <c r="L74" s="247">
        <f t="shared" si="46"/>
        <v>0</v>
      </c>
      <c r="M74" s="393"/>
      <c r="N74" s="246">
        <f t="shared" si="47"/>
        <v>0</v>
      </c>
      <c r="O74" s="247">
        <f t="shared" si="48"/>
        <v>0</v>
      </c>
      <c r="P74" s="247">
        <f t="shared" si="49"/>
        <v>0</v>
      </c>
      <c r="Q74" s="240">
        <f t="shared" si="50"/>
        <v>0</v>
      </c>
      <c r="R74" s="251">
        <f t="shared" si="53"/>
        <v>0</v>
      </c>
      <c r="S74" s="251" t="str">
        <f t="shared" si="54"/>
        <v/>
      </c>
      <c r="T74" s="407"/>
    </row>
    <row r="75" spans="1:20">
      <c r="A75" s="243">
        <f t="shared" si="1"/>
        <v>65</v>
      </c>
      <c r="B75" s="244"/>
      <c r="C75" s="244"/>
      <c r="D75" s="231" t="s">
        <v>139</v>
      </c>
      <c r="E75" s="245">
        <v>4590</v>
      </c>
      <c r="F75" s="249"/>
      <c r="G75" s="250"/>
      <c r="H75" s="250"/>
      <c r="I75" s="240"/>
      <c r="J75" s="246">
        <f>'Qtr 1 Budget'!L75</f>
        <v>0</v>
      </c>
      <c r="K75" s="392"/>
      <c r="L75" s="247">
        <f t="shared" si="46"/>
        <v>0</v>
      </c>
      <c r="M75" s="393"/>
      <c r="N75" s="246">
        <f t="shared" si="47"/>
        <v>0</v>
      </c>
      <c r="O75" s="247">
        <f t="shared" si="48"/>
        <v>0</v>
      </c>
      <c r="P75" s="247">
        <f t="shared" si="49"/>
        <v>0</v>
      </c>
      <c r="Q75" s="240">
        <f t="shared" si="50"/>
        <v>0</v>
      </c>
      <c r="R75" s="251">
        <f t="shared" si="53"/>
        <v>0</v>
      </c>
      <c r="S75" s="251" t="str">
        <f t="shared" si="54"/>
        <v/>
      </c>
      <c r="T75" s="407"/>
    </row>
    <row r="76" spans="1:20">
      <c r="A76" s="243">
        <f t="shared" si="1"/>
        <v>66</v>
      </c>
      <c r="B76" s="396"/>
      <c r="C76" s="396" t="s">
        <v>181</v>
      </c>
      <c r="D76" s="394"/>
      <c r="E76" s="395"/>
      <c r="F76" s="246">
        <f>'Qtr 1 Budget'!H76</f>
        <v>0</v>
      </c>
      <c r="G76" s="392"/>
      <c r="H76" s="247">
        <f t="shared" si="21"/>
        <v>0</v>
      </c>
      <c r="I76" s="393"/>
      <c r="J76" s="246">
        <f>'Qtr 1 Budget'!L76</f>
        <v>0</v>
      </c>
      <c r="K76" s="392"/>
      <c r="L76" s="247">
        <f t="shared" si="46"/>
        <v>0</v>
      </c>
      <c r="M76" s="393"/>
      <c r="N76" s="246">
        <f t="shared" si="47"/>
        <v>0</v>
      </c>
      <c r="O76" s="247">
        <f t="shared" si="48"/>
        <v>0</v>
      </c>
      <c r="P76" s="247">
        <f t="shared" si="49"/>
        <v>0</v>
      </c>
      <c r="Q76" s="240">
        <f t="shared" si="50"/>
        <v>0</v>
      </c>
      <c r="R76" s="251">
        <f t="shared" si="53"/>
        <v>0</v>
      </c>
      <c r="S76" s="251" t="str">
        <f t="shared" si="54"/>
        <v/>
      </c>
      <c r="T76" s="407"/>
    </row>
    <row r="77" spans="1:20">
      <c r="A77" s="243">
        <f t="shared" si="1"/>
        <v>67</v>
      </c>
      <c r="B77" s="396"/>
      <c r="C77" s="396" t="s">
        <v>181</v>
      </c>
      <c r="D77" s="394"/>
      <c r="E77" s="395"/>
      <c r="F77" s="246">
        <f>'Qtr 1 Budget'!H77</f>
        <v>0</v>
      </c>
      <c r="G77" s="392"/>
      <c r="H77" s="247">
        <f t="shared" si="21"/>
        <v>0</v>
      </c>
      <c r="I77" s="393"/>
      <c r="J77" s="246">
        <f>'Qtr 1 Budget'!L77</f>
        <v>0</v>
      </c>
      <c r="K77" s="392"/>
      <c r="L77" s="247">
        <f t="shared" si="46"/>
        <v>0</v>
      </c>
      <c r="M77" s="393"/>
      <c r="N77" s="246">
        <f t="shared" si="47"/>
        <v>0</v>
      </c>
      <c r="O77" s="247">
        <f t="shared" si="48"/>
        <v>0</v>
      </c>
      <c r="P77" s="247">
        <f t="shared" si="49"/>
        <v>0</v>
      </c>
      <c r="Q77" s="240">
        <f t="shared" si="50"/>
        <v>0</v>
      </c>
      <c r="R77" s="251">
        <f t="shared" si="53"/>
        <v>0</v>
      </c>
      <c r="S77" s="251" t="str">
        <f t="shared" si="54"/>
        <v/>
      </c>
      <c r="T77" s="407"/>
    </row>
    <row r="78" spans="1:20" ht="14.25" customHeight="1">
      <c r="A78" s="243">
        <f t="shared" ref="A78:A141" si="55">A77+1</f>
        <v>68</v>
      </c>
      <c r="B78" s="396"/>
      <c r="C78" s="396" t="s">
        <v>181</v>
      </c>
      <c r="D78" s="394"/>
      <c r="E78" s="395"/>
      <c r="F78" s="246">
        <f>'Qtr 1 Budget'!H78</f>
        <v>0</v>
      </c>
      <c r="G78" s="392"/>
      <c r="H78" s="247">
        <f t="shared" si="21"/>
        <v>0</v>
      </c>
      <c r="I78" s="393"/>
      <c r="J78" s="246">
        <f>'Qtr 1 Budget'!L78</f>
        <v>0</v>
      </c>
      <c r="K78" s="392"/>
      <c r="L78" s="247">
        <f t="shared" si="46"/>
        <v>0</v>
      </c>
      <c r="M78" s="393"/>
      <c r="N78" s="246">
        <f t="shared" si="47"/>
        <v>0</v>
      </c>
      <c r="O78" s="247">
        <f t="shared" si="48"/>
        <v>0</v>
      </c>
      <c r="P78" s="247">
        <f t="shared" si="49"/>
        <v>0</v>
      </c>
      <c r="Q78" s="240">
        <f t="shared" si="50"/>
        <v>0</v>
      </c>
      <c r="R78" s="251">
        <f t="shared" si="53"/>
        <v>0</v>
      </c>
      <c r="S78" s="251" t="str">
        <f t="shared" si="54"/>
        <v/>
      </c>
      <c r="T78" s="407"/>
    </row>
    <row r="79" spans="1:20" ht="14.25" customHeight="1">
      <c r="A79" s="243">
        <f t="shared" si="55"/>
        <v>69</v>
      </c>
      <c r="B79" s="396"/>
      <c r="C79" s="396" t="s">
        <v>181</v>
      </c>
      <c r="D79" s="394"/>
      <c r="E79" s="397"/>
      <c r="F79" s="246">
        <f>'Qtr 1 Budget'!H79</f>
        <v>0</v>
      </c>
      <c r="G79" s="392"/>
      <c r="H79" s="247">
        <f t="shared" si="21"/>
        <v>0</v>
      </c>
      <c r="I79" s="393"/>
      <c r="J79" s="246">
        <f>'Qtr 1 Budget'!L79</f>
        <v>0</v>
      </c>
      <c r="K79" s="392"/>
      <c r="L79" s="247">
        <f t="shared" si="46"/>
        <v>0</v>
      </c>
      <c r="M79" s="393"/>
      <c r="N79" s="246">
        <f t="shared" si="47"/>
        <v>0</v>
      </c>
      <c r="O79" s="247">
        <f t="shared" si="48"/>
        <v>0</v>
      </c>
      <c r="P79" s="247">
        <f t="shared" si="49"/>
        <v>0</v>
      </c>
      <c r="Q79" s="240">
        <f t="shared" si="50"/>
        <v>0</v>
      </c>
      <c r="R79" s="251">
        <f t="shared" si="53"/>
        <v>0</v>
      </c>
      <c r="S79" s="251" t="str">
        <f t="shared" si="54"/>
        <v/>
      </c>
      <c r="T79" s="407"/>
    </row>
    <row r="80" spans="1:20">
      <c r="A80" s="256">
        <f t="shared" si="55"/>
        <v>70</v>
      </c>
      <c r="B80" s="257" t="s">
        <v>69</v>
      </c>
      <c r="C80" s="257"/>
      <c r="D80" s="258"/>
      <c r="E80" s="259"/>
      <c r="F80" s="260">
        <f>SUM(F43:F79)</f>
        <v>0</v>
      </c>
      <c r="G80" s="261">
        <f t="shared" ref="G80:Q80" si="56">SUM(G43:G79)</f>
        <v>0</v>
      </c>
      <c r="H80" s="261">
        <f t="shared" si="56"/>
        <v>0</v>
      </c>
      <c r="I80" s="262">
        <f t="shared" si="56"/>
        <v>0</v>
      </c>
      <c r="J80" s="260">
        <f t="shared" si="56"/>
        <v>1708582.583360787</v>
      </c>
      <c r="K80" s="261">
        <f t="shared" si="56"/>
        <v>0</v>
      </c>
      <c r="L80" s="261">
        <f t="shared" si="56"/>
        <v>1708582.583360787</v>
      </c>
      <c r="M80" s="262">
        <f t="shared" si="56"/>
        <v>0</v>
      </c>
      <c r="N80" s="260">
        <f t="shared" si="56"/>
        <v>1708582.583360787</v>
      </c>
      <c r="O80" s="261">
        <f t="shared" si="56"/>
        <v>0</v>
      </c>
      <c r="P80" s="261">
        <f t="shared" si="56"/>
        <v>1708582.583360787</v>
      </c>
      <c r="Q80" s="262">
        <f t="shared" si="56"/>
        <v>0</v>
      </c>
      <c r="R80" s="263">
        <f t="shared" si="53"/>
        <v>0.31262918012679891</v>
      </c>
      <c r="S80" s="263">
        <f>IFERROR(Q80/P80,"")</f>
        <v>0</v>
      </c>
      <c r="T80" s="408"/>
    </row>
    <row r="81" spans="1:20" ht="18" customHeight="1">
      <c r="A81" s="243">
        <f t="shared" si="55"/>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5"/>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5"/>
        <v>73</v>
      </c>
      <c r="B83" s="396"/>
      <c r="C83" s="396"/>
      <c r="D83" s="394"/>
      <c r="E83" s="395"/>
      <c r="F83" s="246">
        <f>'Qtr 1 Budget'!H83</f>
        <v>0</v>
      </c>
      <c r="G83" s="392"/>
      <c r="H83" s="247">
        <f t="shared" ref="H83:H84" si="57">SUM(F83:G83)</f>
        <v>0</v>
      </c>
      <c r="I83" s="393"/>
      <c r="J83" s="246">
        <f>'Qtr 1 Budget'!L83</f>
        <v>0</v>
      </c>
      <c r="K83" s="392"/>
      <c r="L83" s="247">
        <f t="shared" ref="L83:L84" si="58">SUM(J83:K83)</f>
        <v>0</v>
      </c>
      <c r="M83" s="393"/>
      <c r="N83" s="246">
        <f t="shared" ref="N83:N84" si="59">F83+J83</f>
        <v>0</v>
      </c>
      <c r="O83" s="247">
        <f t="shared" ref="O83:O84" si="60">K83+G83</f>
        <v>0</v>
      </c>
      <c r="P83" s="247">
        <f t="shared" ref="P83:P84" si="61">SUM(N83:O83)</f>
        <v>0</v>
      </c>
      <c r="Q83" s="240">
        <f t="shared" ref="Q83:Q84" si="62">M83+I83</f>
        <v>0</v>
      </c>
      <c r="R83" s="251">
        <f t="shared" ref="R83:R85" si="63">P83/$P$85</f>
        <v>0</v>
      </c>
      <c r="S83" s="251" t="str">
        <f t="shared" ref="S83:S85" si="64">IFERROR(Q83/P83,"")</f>
        <v/>
      </c>
      <c r="T83" s="407"/>
    </row>
    <row r="84" spans="1:20">
      <c r="A84" s="243">
        <f t="shared" si="55"/>
        <v>74</v>
      </c>
      <c r="B84" s="396"/>
      <c r="C84" s="396"/>
      <c r="D84" s="394"/>
      <c r="E84" s="397"/>
      <c r="F84" s="246">
        <f>'Qtr 1 Budget'!H84</f>
        <v>0</v>
      </c>
      <c r="G84" s="392"/>
      <c r="H84" s="247">
        <f t="shared" si="57"/>
        <v>0</v>
      </c>
      <c r="I84" s="393"/>
      <c r="J84" s="246">
        <f>'Qtr 1 Budget'!L84</f>
        <v>0</v>
      </c>
      <c r="K84" s="392"/>
      <c r="L84" s="247">
        <f t="shared" si="58"/>
        <v>0</v>
      </c>
      <c r="M84" s="393"/>
      <c r="N84" s="246">
        <f t="shared" si="59"/>
        <v>0</v>
      </c>
      <c r="O84" s="247">
        <f t="shared" si="60"/>
        <v>0</v>
      </c>
      <c r="P84" s="247">
        <f t="shared" si="61"/>
        <v>0</v>
      </c>
      <c r="Q84" s="240">
        <f t="shared" si="62"/>
        <v>0</v>
      </c>
      <c r="R84" s="251">
        <f t="shared" si="63"/>
        <v>0</v>
      </c>
      <c r="S84" s="251" t="str">
        <f t="shared" si="64"/>
        <v/>
      </c>
      <c r="T84" s="407"/>
    </row>
    <row r="85" spans="1:20" ht="16" thickBot="1">
      <c r="A85" s="219">
        <f t="shared" si="55"/>
        <v>75</v>
      </c>
      <c r="B85" s="189" t="s">
        <v>74</v>
      </c>
      <c r="C85" s="189"/>
      <c r="D85" s="190"/>
      <c r="E85" s="191"/>
      <c r="F85" s="222">
        <f t="shared" ref="F85:Q85" si="65">F22+F39+F80+F83+F84</f>
        <v>3751404.4965610709</v>
      </c>
      <c r="G85" s="225">
        <f t="shared" si="65"/>
        <v>0</v>
      </c>
      <c r="H85" s="225">
        <f t="shared" si="65"/>
        <v>3751404.4965610709</v>
      </c>
      <c r="I85" s="193">
        <f t="shared" si="65"/>
        <v>0</v>
      </c>
      <c r="J85" s="222">
        <f t="shared" si="65"/>
        <v>1713800.583360787</v>
      </c>
      <c r="K85" s="225">
        <f t="shared" si="65"/>
        <v>0</v>
      </c>
      <c r="L85" s="225">
        <f t="shared" si="65"/>
        <v>1713800.583360787</v>
      </c>
      <c r="M85" s="193">
        <f t="shared" si="65"/>
        <v>0</v>
      </c>
      <c r="N85" s="222">
        <f t="shared" si="65"/>
        <v>5465205.0799218584</v>
      </c>
      <c r="O85" s="225">
        <f t="shared" si="65"/>
        <v>0</v>
      </c>
      <c r="P85" s="225">
        <f t="shared" si="65"/>
        <v>5465205.0799218584</v>
      </c>
      <c r="Q85" s="193">
        <f t="shared" si="65"/>
        <v>0</v>
      </c>
      <c r="R85" s="194">
        <f t="shared" si="63"/>
        <v>1</v>
      </c>
      <c r="S85" s="194">
        <f t="shared" si="64"/>
        <v>0</v>
      </c>
      <c r="T85" s="415"/>
    </row>
    <row r="86" spans="1:20" ht="17.25" customHeight="1" thickTop="1">
      <c r="A86" s="227">
        <f t="shared" si="55"/>
        <v>76</v>
      </c>
      <c r="B86" s="864" t="s">
        <v>92</v>
      </c>
      <c r="C86" s="864"/>
      <c r="D86" s="865"/>
      <c r="E86" s="228"/>
      <c r="F86" s="276"/>
      <c r="G86" s="277"/>
      <c r="H86" s="277"/>
      <c r="I86" s="278"/>
      <c r="J86" s="276"/>
      <c r="K86" s="277"/>
      <c r="L86" s="277"/>
      <c r="M86" s="279"/>
      <c r="N86" s="276"/>
      <c r="O86" s="277"/>
      <c r="P86" s="277"/>
      <c r="Q86" s="280"/>
      <c r="R86" s="281"/>
      <c r="S86" s="281"/>
      <c r="T86" s="416"/>
    </row>
    <row r="87" spans="1:20" ht="22.5" customHeight="1">
      <c r="A87" s="234">
        <f t="shared" si="55"/>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5"/>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5"/>
        <v>79</v>
      </c>
      <c r="B89" s="287"/>
      <c r="C89" s="288"/>
      <c r="D89" s="231" t="s">
        <v>27</v>
      </c>
      <c r="E89" s="245">
        <v>111</v>
      </c>
      <c r="F89" s="290">
        <f>'Qtr 1 Budget'!H89</f>
        <v>90125.041200000007</v>
      </c>
      <c r="G89" s="398"/>
      <c r="H89" s="291">
        <f t="shared" ref="H89:H96" si="66">SUM(F89:G89)</f>
        <v>90125.041200000007</v>
      </c>
      <c r="I89" s="393"/>
      <c r="J89" s="290">
        <f>'Qtr 1 Budget'!L89</f>
        <v>0</v>
      </c>
      <c r="K89" s="398"/>
      <c r="L89" s="291">
        <f t="shared" ref="L89:L96" si="67">SUM(J89:K89)</f>
        <v>0</v>
      </c>
      <c r="M89" s="399"/>
      <c r="N89" s="290">
        <f t="shared" ref="N89:N96" si="68">F89+J89</f>
        <v>90125.041200000007</v>
      </c>
      <c r="O89" s="291">
        <f t="shared" ref="O89:O96" si="69">K89+G89</f>
        <v>0</v>
      </c>
      <c r="P89" s="291">
        <f t="shared" ref="P89:P96" si="70">SUM(N89:O89)</f>
        <v>90125.041200000007</v>
      </c>
      <c r="Q89" s="289">
        <f t="shared" ref="Q89:Q96" si="71">M89+I89</f>
        <v>0</v>
      </c>
      <c r="R89" s="251">
        <f>P89/$P$156</f>
        <v>1.7532849526131395E-2</v>
      </c>
      <c r="S89" s="251">
        <f t="shared" ref="S89:S97" si="72">IFERROR(Q89/P89,"")</f>
        <v>0</v>
      </c>
      <c r="T89" s="407"/>
    </row>
    <row r="90" spans="1:20" ht="15" customHeight="1">
      <c r="A90" s="243">
        <f t="shared" si="55"/>
        <v>80</v>
      </c>
      <c r="B90" s="287"/>
      <c r="C90" s="288"/>
      <c r="D90" s="231" t="s">
        <v>28</v>
      </c>
      <c r="E90" s="245">
        <v>111</v>
      </c>
      <c r="F90" s="290">
        <f>'Qtr 1 Budget'!H90</f>
        <v>0</v>
      </c>
      <c r="G90" s="398"/>
      <c r="H90" s="291">
        <f t="shared" si="66"/>
        <v>0</v>
      </c>
      <c r="I90" s="393"/>
      <c r="J90" s="290">
        <f>'Qtr 1 Budget'!L90</f>
        <v>0</v>
      </c>
      <c r="K90" s="398"/>
      <c r="L90" s="291">
        <f t="shared" si="67"/>
        <v>0</v>
      </c>
      <c r="M90" s="399"/>
      <c r="N90" s="290">
        <f t="shared" si="68"/>
        <v>0</v>
      </c>
      <c r="O90" s="291">
        <f t="shared" si="69"/>
        <v>0</v>
      </c>
      <c r="P90" s="291">
        <f t="shared" si="70"/>
        <v>0</v>
      </c>
      <c r="Q90" s="289">
        <f t="shared" si="71"/>
        <v>0</v>
      </c>
      <c r="R90" s="251">
        <f t="shared" ref="R90:R97" si="73">P90/$P$156</f>
        <v>0</v>
      </c>
      <c r="S90" s="251" t="str">
        <f t="shared" si="72"/>
        <v/>
      </c>
      <c r="T90" s="407"/>
    </row>
    <row r="91" spans="1:20" ht="15" customHeight="1">
      <c r="A91" s="243">
        <f t="shared" si="55"/>
        <v>81</v>
      </c>
      <c r="B91" s="287"/>
      <c r="C91" s="288"/>
      <c r="D91" s="231" t="s">
        <v>196</v>
      </c>
      <c r="E91" s="245">
        <v>111</v>
      </c>
      <c r="F91" s="290">
        <f>'Qtr 1 Budget'!H91</f>
        <v>157301</v>
      </c>
      <c r="G91" s="398"/>
      <c r="H91" s="291">
        <f t="shared" si="66"/>
        <v>157301</v>
      </c>
      <c r="I91" s="393"/>
      <c r="J91" s="290">
        <f>'Qtr 1 Budget'!L91</f>
        <v>328815</v>
      </c>
      <c r="K91" s="398"/>
      <c r="L91" s="291">
        <f t="shared" si="67"/>
        <v>328815</v>
      </c>
      <c r="M91" s="399"/>
      <c r="N91" s="290">
        <f t="shared" si="68"/>
        <v>486116</v>
      </c>
      <c r="O91" s="291">
        <f t="shared" si="69"/>
        <v>0</v>
      </c>
      <c r="P91" s="291">
        <f t="shared" si="70"/>
        <v>486116</v>
      </c>
      <c r="Q91" s="289">
        <f t="shared" si="71"/>
        <v>0</v>
      </c>
      <c r="R91" s="251">
        <f t="shared" si="73"/>
        <v>9.4568596771358676E-2</v>
      </c>
      <c r="S91" s="251">
        <f t="shared" si="72"/>
        <v>0</v>
      </c>
      <c r="T91" s="407"/>
    </row>
    <row r="92" spans="1:20" ht="15" customHeight="1">
      <c r="A92" s="243">
        <f t="shared" si="55"/>
        <v>82</v>
      </c>
      <c r="B92" s="287"/>
      <c r="C92" s="244" t="s">
        <v>5</v>
      </c>
      <c r="D92" s="231"/>
      <c r="E92" s="245">
        <v>112</v>
      </c>
      <c r="F92" s="290">
        <f>'Qtr 1 Budget'!H92</f>
        <v>680606</v>
      </c>
      <c r="G92" s="398"/>
      <c r="H92" s="291">
        <f t="shared" si="66"/>
        <v>680606</v>
      </c>
      <c r="I92" s="393"/>
      <c r="J92" s="290">
        <f>'Qtr 1 Budget'!L92</f>
        <v>796350</v>
      </c>
      <c r="K92" s="398"/>
      <c r="L92" s="291">
        <f t="shared" si="67"/>
        <v>796350</v>
      </c>
      <c r="M92" s="399"/>
      <c r="N92" s="290">
        <f t="shared" si="68"/>
        <v>1476956</v>
      </c>
      <c r="O92" s="291">
        <f t="shared" si="69"/>
        <v>0</v>
      </c>
      <c r="P92" s="291">
        <f t="shared" si="70"/>
        <v>1476956</v>
      </c>
      <c r="Q92" s="289">
        <f t="shared" si="71"/>
        <v>0</v>
      </c>
      <c r="R92" s="251">
        <f t="shared" si="73"/>
        <v>0.28732577494474332</v>
      </c>
      <c r="S92" s="251">
        <f t="shared" si="72"/>
        <v>0</v>
      </c>
      <c r="T92" s="407"/>
    </row>
    <row r="93" spans="1:20" ht="15" customHeight="1">
      <c r="A93" s="243">
        <f t="shared" si="55"/>
        <v>83</v>
      </c>
      <c r="B93" s="244"/>
      <c r="C93" s="244" t="s">
        <v>29</v>
      </c>
      <c r="D93" s="231"/>
      <c r="E93" s="245">
        <v>113</v>
      </c>
      <c r="F93" s="290">
        <f>'Qtr 1 Budget'!H93</f>
        <v>0</v>
      </c>
      <c r="G93" s="398"/>
      <c r="H93" s="291">
        <f t="shared" si="66"/>
        <v>0</v>
      </c>
      <c r="I93" s="393"/>
      <c r="J93" s="290">
        <f>'Qtr 1 Budget'!L93</f>
        <v>55336</v>
      </c>
      <c r="K93" s="398"/>
      <c r="L93" s="291">
        <f t="shared" si="67"/>
        <v>55336</v>
      </c>
      <c r="M93" s="399"/>
      <c r="N93" s="290">
        <f t="shared" si="68"/>
        <v>55336</v>
      </c>
      <c r="O93" s="291">
        <f t="shared" si="69"/>
        <v>0</v>
      </c>
      <c r="P93" s="291">
        <f t="shared" si="70"/>
        <v>55336</v>
      </c>
      <c r="Q93" s="289">
        <f t="shared" si="71"/>
        <v>0</v>
      </c>
      <c r="R93" s="251">
        <f t="shared" si="73"/>
        <v>1.0765018783458894E-2</v>
      </c>
      <c r="S93" s="251">
        <f t="shared" si="72"/>
        <v>0</v>
      </c>
      <c r="T93" s="407"/>
    </row>
    <row r="94" spans="1:20" ht="15" customHeight="1">
      <c r="A94" s="243">
        <f t="shared" si="55"/>
        <v>84</v>
      </c>
      <c r="B94" s="244"/>
      <c r="C94" s="244" t="s">
        <v>31</v>
      </c>
      <c r="D94" s="231"/>
      <c r="E94" s="245">
        <v>114</v>
      </c>
      <c r="F94" s="290">
        <f>'Qtr 1 Budget'!H94</f>
        <v>155222</v>
      </c>
      <c r="G94" s="398"/>
      <c r="H94" s="291">
        <f t="shared" si="66"/>
        <v>155222</v>
      </c>
      <c r="I94" s="393"/>
      <c r="J94" s="290">
        <f>'Qtr 1 Budget'!L94</f>
        <v>0</v>
      </c>
      <c r="K94" s="398"/>
      <c r="L94" s="291">
        <f t="shared" si="67"/>
        <v>0</v>
      </c>
      <c r="M94" s="399"/>
      <c r="N94" s="290">
        <f t="shared" si="68"/>
        <v>155222</v>
      </c>
      <c r="O94" s="291">
        <f t="shared" si="69"/>
        <v>0</v>
      </c>
      <c r="P94" s="291">
        <f t="shared" si="70"/>
        <v>155222</v>
      </c>
      <c r="Q94" s="289">
        <f t="shared" si="71"/>
        <v>0</v>
      </c>
      <c r="R94" s="251">
        <f t="shared" si="73"/>
        <v>3.0196757004591162E-2</v>
      </c>
      <c r="S94" s="251">
        <f t="shared" si="72"/>
        <v>0</v>
      </c>
      <c r="T94" s="407"/>
    </row>
    <row r="95" spans="1:20" ht="15" customHeight="1">
      <c r="A95" s="243">
        <f t="shared" si="55"/>
        <v>85</v>
      </c>
      <c r="B95" s="244"/>
      <c r="C95" s="244" t="s">
        <v>34</v>
      </c>
      <c r="D95" s="231"/>
      <c r="E95" s="245">
        <v>116</v>
      </c>
      <c r="F95" s="290">
        <f>'Qtr 1 Budget'!H95</f>
        <v>0</v>
      </c>
      <c r="G95" s="398"/>
      <c r="H95" s="291">
        <f t="shared" si="66"/>
        <v>0</v>
      </c>
      <c r="I95" s="393"/>
      <c r="J95" s="290">
        <f>'Qtr 1 Budget'!L95</f>
        <v>0</v>
      </c>
      <c r="K95" s="398"/>
      <c r="L95" s="291">
        <f t="shared" si="67"/>
        <v>0</v>
      </c>
      <c r="M95" s="399"/>
      <c r="N95" s="290">
        <f t="shared" si="68"/>
        <v>0</v>
      </c>
      <c r="O95" s="291">
        <f t="shared" si="69"/>
        <v>0</v>
      </c>
      <c r="P95" s="291">
        <f t="shared" si="70"/>
        <v>0</v>
      </c>
      <c r="Q95" s="289">
        <f t="shared" si="71"/>
        <v>0</v>
      </c>
      <c r="R95" s="251">
        <f t="shared" si="73"/>
        <v>0</v>
      </c>
      <c r="S95" s="251" t="str">
        <f t="shared" si="72"/>
        <v/>
      </c>
      <c r="T95" s="407"/>
    </row>
    <row r="96" spans="1:20" ht="15" customHeight="1">
      <c r="A96" s="243">
        <f t="shared" si="55"/>
        <v>86</v>
      </c>
      <c r="B96" s="244"/>
      <c r="C96" s="288" t="s">
        <v>197</v>
      </c>
      <c r="D96" s="231"/>
      <c r="E96" s="245" t="s">
        <v>95</v>
      </c>
      <c r="F96" s="290">
        <f>'Qtr 1 Budget'!H96</f>
        <v>35000</v>
      </c>
      <c r="G96" s="398"/>
      <c r="H96" s="291">
        <f t="shared" si="66"/>
        <v>35000</v>
      </c>
      <c r="I96" s="393"/>
      <c r="J96" s="290">
        <f>'Qtr 1 Budget'!L96</f>
        <v>88300</v>
      </c>
      <c r="K96" s="398"/>
      <c r="L96" s="291">
        <f t="shared" si="67"/>
        <v>88300</v>
      </c>
      <c r="M96" s="399"/>
      <c r="N96" s="290">
        <f t="shared" si="68"/>
        <v>123300</v>
      </c>
      <c r="O96" s="291">
        <f t="shared" si="69"/>
        <v>0</v>
      </c>
      <c r="P96" s="291">
        <f t="shared" si="70"/>
        <v>123300</v>
      </c>
      <c r="Q96" s="289">
        <f t="shared" si="71"/>
        <v>0</v>
      </c>
      <c r="R96" s="251">
        <f t="shared" si="73"/>
        <v>2.3986678039621255E-2</v>
      </c>
      <c r="S96" s="251">
        <f t="shared" si="72"/>
        <v>0</v>
      </c>
      <c r="T96" s="407"/>
    </row>
    <row r="97" spans="1:20" ht="15" customHeight="1">
      <c r="A97" s="256">
        <f t="shared" si="55"/>
        <v>87</v>
      </c>
      <c r="B97" s="257"/>
      <c r="C97" s="257"/>
      <c r="D97" s="292" t="s">
        <v>76</v>
      </c>
      <c r="E97" s="293" t="s">
        <v>6</v>
      </c>
      <c r="F97" s="294">
        <f>SUM(F89:F96)</f>
        <v>1118254.0411999999</v>
      </c>
      <c r="G97" s="295">
        <f t="shared" ref="G97:Q97" si="74">SUM(G89:G96)</f>
        <v>0</v>
      </c>
      <c r="H97" s="295">
        <f t="shared" si="74"/>
        <v>1118254.0411999999</v>
      </c>
      <c r="I97" s="296">
        <f t="shared" si="74"/>
        <v>0</v>
      </c>
      <c r="J97" s="294">
        <f t="shared" si="74"/>
        <v>1268801</v>
      </c>
      <c r="K97" s="295">
        <f t="shared" si="74"/>
        <v>0</v>
      </c>
      <c r="L97" s="295">
        <f t="shared" si="74"/>
        <v>1268801</v>
      </c>
      <c r="M97" s="296">
        <f t="shared" si="74"/>
        <v>0</v>
      </c>
      <c r="N97" s="294">
        <f t="shared" si="74"/>
        <v>2387055.0411999999</v>
      </c>
      <c r="O97" s="295">
        <f t="shared" si="74"/>
        <v>0</v>
      </c>
      <c r="P97" s="295">
        <f t="shared" si="74"/>
        <v>2387055.0411999999</v>
      </c>
      <c r="Q97" s="297">
        <f t="shared" si="74"/>
        <v>0</v>
      </c>
      <c r="R97" s="263">
        <f t="shared" si="73"/>
        <v>0.46437567506990468</v>
      </c>
      <c r="S97" s="263">
        <f t="shared" si="72"/>
        <v>0</v>
      </c>
      <c r="T97" s="408"/>
    </row>
    <row r="98" spans="1:20" ht="17.25" customHeight="1">
      <c r="A98" s="234">
        <f t="shared" si="55"/>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5"/>
        <v>89</v>
      </c>
      <c r="B99" s="244"/>
      <c r="C99" s="244" t="s">
        <v>32</v>
      </c>
      <c r="D99" s="231"/>
      <c r="E99" s="245">
        <v>210</v>
      </c>
      <c r="F99" s="290">
        <f>'Qtr 1 Budget'!H99</f>
        <v>149296.84375</v>
      </c>
      <c r="G99" s="398"/>
      <c r="H99" s="291">
        <f t="shared" ref="H99:H105" si="75">SUM(F99:G99)</f>
        <v>149296.84375</v>
      </c>
      <c r="I99" s="393"/>
      <c r="J99" s="290">
        <f>'Qtr 1 Budget'!L99</f>
        <v>25000</v>
      </c>
      <c r="K99" s="398"/>
      <c r="L99" s="291">
        <f t="shared" ref="L99:L105" si="76">SUM(J99:K99)</f>
        <v>25000</v>
      </c>
      <c r="M99" s="399"/>
      <c r="N99" s="290">
        <f t="shared" ref="N99:N105" si="77">F99+J99</f>
        <v>174296.84375</v>
      </c>
      <c r="O99" s="291">
        <f t="shared" ref="O99:O105" si="78">K99+G99</f>
        <v>0</v>
      </c>
      <c r="P99" s="291">
        <f t="shared" ref="P99:P105" si="79">SUM(N99:O99)</f>
        <v>174296.84375</v>
      </c>
      <c r="Q99" s="289">
        <f t="shared" ref="Q99:Q105" si="80">M99+I99</f>
        <v>0</v>
      </c>
      <c r="R99" s="251">
        <f t="shared" ref="R99:R106" si="81">P99/$P$156</f>
        <v>3.3907561024764166E-2</v>
      </c>
      <c r="S99" s="251">
        <f t="shared" ref="S99:S106" si="82">IFERROR(Q99/P99,"")</f>
        <v>0</v>
      </c>
      <c r="T99" s="407"/>
    </row>
    <row r="100" spans="1:20" ht="15" customHeight="1">
      <c r="A100" s="243">
        <f t="shared" si="55"/>
        <v>90</v>
      </c>
      <c r="B100" s="244"/>
      <c r="C100" s="244" t="s">
        <v>7</v>
      </c>
      <c r="D100" s="231"/>
      <c r="E100" s="245">
        <v>220</v>
      </c>
      <c r="F100" s="290">
        <f>'Qtr 1 Budget'!H100</f>
        <v>112997.41255439998</v>
      </c>
      <c r="G100" s="398"/>
      <c r="H100" s="291">
        <f t="shared" si="75"/>
        <v>112997.41255439998</v>
      </c>
      <c r="I100" s="393"/>
      <c r="J100" s="290">
        <f>'Qtr 1 Budget'!L100</f>
        <v>35000</v>
      </c>
      <c r="K100" s="398"/>
      <c r="L100" s="291">
        <f t="shared" si="76"/>
        <v>35000</v>
      </c>
      <c r="M100" s="399"/>
      <c r="N100" s="290">
        <f t="shared" si="77"/>
        <v>147997.41255439998</v>
      </c>
      <c r="O100" s="291">
        <f t="shared" si="78"/>
        <v>0</v>
      </c>
      <c r="P100" s="291">
        <f t="shared" si="79"/>
        <v>147997.41255439998</v>
      </c>
      <c r="Q100" s="289">
        <f t="shared" si="80"/>
        <v>0</v>
      </c>
      <c r="R100" s="251">
        <f t="shared" si="81"/>
        <v>2.8791291854334086E-2</v>
      </c>
      <c r="S100" s="251">
        <f t="shared" si="82"/>
        <v>0</v>
      </c>
      <c r="T100" s="407"/>
    </row>
    <row r="101" spans="1:20" ht="15" customHeight="1">
      <c r="A101" s="243">
        <f t="shared" si="55"/>
        <v>91</v>
      </c>
      <c r="B101" s="244"/>
      <c r="C101" s="244" t="s">
        <v>23</v>
      </c>
      <c r="D101" s="231"/>
      <c r="E101" s="245">
        <v>225</v>
      </c>
      <c r="F101" s="290">
        <f>'Qtr 1 Budget'!H101</f>
        <v>19612.298097399995</v>
      </c>
      <c r="G101" s="398"/>
      <c r="H101" s="291">
        <f t="shared" si="75"/>
        <v>19612.298097399995</v>
      </c>
      <c r="I101" s="393"/>
      <c r="J101" s="290">
        <f>'Qtr 1 Budget'!L101</f>
        <v>15000</v>
      </c>
      <c r="K101" s="398"/>
      <c r="L101" s="291">
        <f t="shared" si="76"/>
        <v>15000</v>
      </c>
      <c r="M101" s="399"/>
      <c r="N101" s="290">
        <f t="shared" si="77"/>
        <v>34612.298097399995</v>
      </c>
      <c r="O101" s="291">
        <f t="shared" si="78"/>
        <v>0</v>
      </c>
      <c r="P101" s="291">
        <f t="shared" si="79"/>
        <v>34612.298097399995</v>
      </c>
      <c r="Q101" s="289">
        <f t="shared" si="80"/>
        <v>0</v>
      </c>
      <c r="R101" s="251">
        <f t="shared" si="81"/>
        <v>6.7334472885136167E-3</v>
      </c>
      <c r="S101" s="251">
        <f t="shared" si="82"/>
        <v>0</v>
      </c>
      <c r="T101" s="407"/>
    </row>
    <row r="102" spans="1:20" ht="15" customHeight="1">
      <c r="A102" s="243">
        <f t="shared" si="55"/>
        <v>92</v>
      </c>
      <c r="B102" s="244"/>
      <c r="C102" s="244" t="s">
        <v>8</v>
      </c>
      <c r="D102" s="231"/>
      <c r="E102" s="245" t="s">
        <v>116</v>
      </c>
      <c r="F102" s="290">
        <f>'Qtr 1 Budget'!H102</f>
        <v>27741.100824000001</v>
      </c>
      <c r="G102" s="398"/>
      <c r="H102" s="291">
        <f t="shared" si="75"/>
        <v>27741.100824000001</v>
      </c>
      <c r="I102" s="393"/>
      <c r="J102" s="290">
        <f>'Qtr 1 Budget'!L102</f>
        <v>20000</v>
      </c>
      <c r="K102" s="398"/>
      <c r="L102" s="291">
        <f t="shared" si="76"/>
        <v>20000</v>
      </c>
      <c r="M102" s="399"/>
      <c r="N102" s="290">
        <f t="shared" si="77"/>
        <v>47741.100824000001</v>
      </c>
      <c r="O102" s="291">
        <f t="shared" si="78"/>
        <v>0</v>
      </c>
      <c r="P102" s="291">
        <f t="shared" si="79"/>
        <v>47741.100824000001</v>
      </c>
      <c r="Q102" s="289">
        <f t="shared" si="80"/>
        <v>0</v>
      </c>
      <c r="R102" s="251">
        <f t="shared" si="81"/>
        <v>9.2875135013980939E-3</v>
      </c>
      <c r="S102" s="251">
        <f t="shared" si="82"/>
        <v>0</v>
      </c>
      <c r="T102" s="407"/>
    </row>
    <row r="103" spans="1:20" ht="15" customHeight="1">
      <c r="A103" s="305">
        <f t="shared" si="55"/>
        <v>93</v>
      </c>
      <c r="B103" s="306"/>
      <c r="C103" s="306" t="s">
        <v>9</v>
      </c>
      <c r="D103" s="307"/>
      <c r="E103" s="308">
        <v>250</v>
      </c>
      <c r="F103" s="309">
        <f>'Qtr 1 Budget'!H103</f>
        <v>23870.550412000001</v>
      </c>
      <c r="G103" s="400"/>
      <c r="H103" s="310">
        <f t="shared" si="75"/>
        <v>23870.550412000001</v>
      </c>
      <c r="I103" s="401"/>
      <c r="J103" s="309">
        <f>'Qtr 1 Budget'!L103</f>
        <v>0</v>
      </c>
      <c r="K103" s="400"/>
      <c r="L103" s="310">
        <f t="shared" si="76"/>
        <v>0</v>
      </c>
      <c r="M103" s="402"/>
      <c r="N103" s="309">
        <f t="shared" si="77"/>
        <v>23870.550412000001</v>
      </c>
      <c r="O103" s="310">
        <f t="shared" si="78"/>
        <v>0</v>
      </c>
      <c r="P103" s="310">
        <f t="shared" si="79"/>
        <v>23870.550412000001</v>
      </c>
      <c r="Q103" s="311">
        <f t="shared" si="80"/>
        <v>0</v>
      </c>
      <c r="R103" s="312">
        <f t="shared" si="81"/>
        <v>4.6437567506990469E-3</v>
      </c>
      <c r="S103" s="312">
        <f t="shared" si="82"/>
        <v>0</v>
      </c>
      <c r="T103" s="417"/>
    </row>
    <row r="104" spans="1:20" ht="15" customHeight="1">
      <c r="A104" s="243">
        <f t="shared" si="55"/>
        <v>94</v>
      </c>
      <c r="B104" s="244"/>
      <c r="C104" s="288" t="s">
        <v>33</v>
      </c>
      <c r="D104" s="231"/>
      <c r="E104" s="245">
        <v>270</v>
      </c>
      <c r="F104" s="290">
        <f>'Qtr 1 Budget'!H104</f>
        <v>0</v>
      </c>
      <c r="G104" s="398"/>
      <c r="H104" s="291">
        <f t="shared" si="75"/>
        <v>0</v>
      </c>
      <c r="I104" s="393"/>
      <c r="J104" s="290">
        <f>'Qtr 1 Budget'!L104</f>
        <v>0</v>
      </c>
      <c r="K104" s="398"/>
      <c r="L104" s="291">
        <f t="shared" si="76"/>
        <v>0</v>
      </c>
      <c r="M104" s="399"/>
      <c r="N104" s="290">
        <f t="shared" si="77"/>
        <v>0</v>
      </c>
      <c r="O104" s="291">
        <f t="shared" si="78"/>
        <v>0</v>
      </c>
      <c r="P104" s="291">
        <f t="shared" si="79"/>
        <v>0</v>
      </c>
      <c r="Q104" s="289">
        <f t="shared" si="80"/>
        <v>0</v>
      </c>
      <c r="R104" s="251">
        <f t="shared" si="81"/>
        <v>0</v>
      </c>
      <c r="S104" s="251" t="str">
        <f t="shared" si="82"/>
        <v/>
      </c>
      <c r="T104" s="407"/>
    </row>
    <row r="105" spans="1:20" ht="15" customHeight="1">
      <c r="A105" s="305">
        <f t="shared" si="55"/>
        <v>95</v>
      </c>
      <c r="B105" s="306"/>
      <c r="C105" s="313" t="s">
        <v>198</v>
      </c>
      <c r="D105" s="307"/>
      <c r="E105" s="308" t="s">
        <v>10</v>
      </c>
      <c r="F105" s="309">
        <f>'Qtr 1 Budget'!H105</f>
        <v>53335.550411999997</v>
      </c>
      <c r="G105" s="400"/>
      <c r="H105" s="310">
        <f t="shared" si="75"/>
        <v>53335.550411999997</v>
      </c>
      <c r="I105" s="401"/>
      <c r="J105" s="309">
        <f>'Qtr 1 Budget'!L105</f>
        <v>0</v>
      </c>
      <c r="K105" s="400"/>
      <c r="L105" s="310">
        <f t="shared" si="76"/>
        <v>0</v>
      </c>
      <c r="M105" s="402"/>
      <c r="N105" s="309">
        <f t="shared" si="77"/>
        <v>53335.550411999997</v>
      </c>
      <c r="O105" s="310">
        <f t="shared" si="78"/>
        <v>0</v>
      </c>
      <c r="P105" s="310">
        <f t="shared" si="79"/>
        <v>53335.550411999997</v>
      </c>
      <c r="Q105" s="311">
        <f t="shared" si="80"/>
        <v>0</v>
      </c>
      <c r="R105" s="312">
        <f t="shared" si="81"/>
        <v>1.037585300728818E-2</v>
      </c>
      <c r="S105" s="312">
        <f t="shared" si="82"/>
        <v>0</v>
      </c>
      <c r="T105" s="417"/>
    </row>
    <row r="106" spans="1:20" ht="15" customHeight="1">
      <c r="A106" s="314">
        <f t="shared" si="55"/>
        <v>96</v>
      </c>
      <c r="B106" s="315"/>
      <c r="C106" s="315"/>
      <c r="D106" s="316" t="s">
        <v>78</v>
      </c>
      <c r="E106" s="317" t="s">
        <v>11</v>
      </c>
      <c r="F106" s="318">
        <f>SUM(F99:F105)</f>
        <v>386853.75604979997</v>
      </c>
      <c r="G106" s="319">
        <f t="shared" ref="G106:Q106" si="83">SUM(G99:G105)</f>
        <v>0</v>
      </c>
      <c r="H106" s="319">
        <f t="shared" si="83"/>
        <v>386853.75604979997</v>
      </c>
      <c r="I106" s="320">
        <f t="shared" si="83"/>
        <v>0</v>
      </c>
      <c r="J106" s="318">
        <f t="shared" si="83"/>
        <v>95000</v>
      </c>
      <c r="K106" s="319">
        <f t="shared" si="83"/>
        <v>0</v>
      </c>
      <c r="L106" s="319">
        <f t="shared" si="83"/>
        <v>95000</v>
      </c>
      <c r="M106" s="320">
        <f t="shared" si="83"/>
        <v>0</v>
      </c>
      <c r="N106" s="318">
        <f t="shared" si="83"/>
        <v>481853.75604979997</v>
      </c>
      <c r="O106" s="319">
        <f t="shared" si="83"/>
        <v>0</v>
      </c>
      <c r="P106" s="319">
        <f t="shared" si="83"/>
        <v>481853.75604979997</v>
      </c>
      <c r="Q106" s="321">
        <f t="shared" si="83"/>
        <v>0</v>
      </c>
      <c r="R106" s="322">
        <f t="shared" si="81"/>
        <v>9.373942342699719E-2</v>
      </c>
      <c r="S106" s="322">
        <f t="shared" si="82"/>
        <v>0</v>
      </c>
      <c r="T106" s="418"/>
    </row>
    <row r="107" spans="1:20" ht="17.25" customHeight="1">
      <c r="A107" s="323">
        <f t="shared" si="55"/>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5"/>
        <v>98</v>
      </c>
      <c r="B108" s="306"/>
      <c r="C108" s="306" t="s">
        <v>12</v>
      </c>
      <c r="D108" s="307"/>
      <c r="E108" s="308">
        <v>332</v>
      </c>
      <c r="F108" s="309">
        <f>'Qtr 1 Budget'!H108</f>
        <v>12500</v>
      </c>
      <c r="G108" s="400"/>
      <c r="H108" s="310">
        <f t="shared" ref="H108:H111" si="84">SUM(F108:G108)</f>
        <v>12500</v>
      </c>
      <c r="I108" s="401"/>
      <c r="J108" s="309">
        <f>'Qtr 1 Budget'!L108</f>
        <v>0</v>
      </c>
      <c r="K108" s="400"/>
      <c r="L108" s="310">
        <f t="shared" ref="L108:L111" si="85">SUM(J108:K108)</f>
        <v>0</v>
      </c>
      <c r="M108" s="402"/>
      <c r="N108" s="309">
        <f t="shared" ref="N108:N111" si="86">F108+J108</f>
        <v>12500</v>
      </c>
      <c r="O108" s="310">
        <f t="shared" ref="O108:O111" si="87">K108+G108</f>
        <v>0</v>
      </c>
      <c r="P108" s="310">
        <f t="shared" ref="P108:P111" si="88">SUM(N108:O108)</f>
        <v>12500</v>
      </c>
      <c r="Q108" s="311">
        <f t="shared" ref="Q108:Q111" si="89">M108+I108</f>
        <v>0</v>
      </c>
      <c r="R108" s="312">
        <f t="shared" ref="R108:R112" si="90">P108/$P$156</f>
        <v>2.431739460626648E-3</v>
      </c>
      <c r="S108" s="312">
        <f t="shared" ref="S108:S112" si="91">IFERROR(Q108/P108,"")</f>
        <v>0</v>
      </c>
      <c r="T108" s="417"/>
    </row>
    <row r="109" spans="1:20" ht="15" customHeight="1">
      <c r="A109" s="305">
        <f t="shared" si="55"/>
        <v>99</v>
      </c>
      <c r="B109" s="306"/>
      <c r="C109" s="306" t="s">
        <v>13</v>
      </c>
      <c r="D109" s="307"/>
      <c r="E109" s="308">
        <v>333</v>
      </c>
      <c r="F109" s="309">
        <f>'Qtr 1 Budget'!H109</f>
        <v>17677</v>
      </c>
      <c r="G109" s="400"/>
      <c r="H109" s="310">
        <f t="shared" si="84"/>
        <v>17677</v>
      </c>
      <c r="I109" s="401"/>
      <c r="J109" s="309">
        <f>'Qtr 1 Budget'!L109</f>
        <v>0</v>
      </c>
      <c r="K109" s="400"/>
      <c r="L109" s="310">
        <f t="shared" si="85"/>
        <v>0</v>
      </c>
      <c r="M109" s="402"/>
      <c r="N109" s="309">
        <f t="shared" si="86"/>
        <v>17677</v>
      </c>
      <c r="O109" s="310">
        <f t="shared" si="87"/>
        <v>0</v>
      </c>
      <c r="P109" s="310">
        <f t="shared" si="88"/>
        <v>17677</v>
      </c>
      <c r="Q109" s="311">
        <f t="shared" si="89"/>
        <v>0</v>
      </c>
      <c r="R109" s="312">
        <f t="shared" si="90"/>
        <v>3.4388686756397801E-3</v>
      </c>
      <c r="S109" s="312">
        <f t="shared" si="91"/>
        <v>0</v>
      </c>
      <c r="T109" s="417"/>
    </row>
    <row r="110" spans="1:20" ht="15" customHeight="1">
      <c r="A110" s="305">
        <f t="shared" si="55"/>
        <v>100</v>
      </c>
      <c r="B110" s="306"/>
      <c r="C110" s="306" t="s">
        <v>35</v>
      </c>
      <c r="D110" s="307"/>
      <c r="E110" s="308" t="s">
        <v>96</v>
      </c>
      <c r="F110" s="309">
        <f>'Qtr 1 Budget'!H110</f>
        <v>0</v>
      </c>
      <c r="G110" s="400"/>
      <c r="H110" s="310">
        <f t="shared" si="84"/>
        <v>0</v>
      </c>
      <c r="I110" s="401"/>
      <c r="J110" s="309">
        <f>'Qtr 1 Budget'!L110</f>
        <v>0</v>
      </c>
      <c r="K110" s="400"/>
      <c r="L110" s="310">
        <f t="shared" si="85"/>
        <v>0</v>
      </c>
      <c r="M110" s="402"/>
      <c r="N110" s="309">
        <f t="shared" si="86"/>
        <v>0</v>
      </c>
      <c r="O110" s="310">
        <f t="shared" si="87"/>
        <v>0</v>
      </c>
      <c r="P110" s="310">
        <f t="shared" si="88"/>
        <v>0</v>
      </c>
      <c r="Q110" s="311">
        <f t="shared" si="89"/>
        <v>0</v>
      </c>
      <c r="R110" s="312">
        <f t="shared" si="90"/>
        <v>0</v>
      </c>
      <c r="S110" s="312" t="str">
        <f t="shared" si="91"/>
        <v/>
      </c>
      <c r="T110" s="417"/>
    </row>
    <row r="111" spans="1:20" ht="15" customHeight="1">
      <c r="A111" s="305">
        <f t="shared" si="55"/>
        <v>101</v>
      </c>
      <c r="B111" s="306"/>
      <c r="C111" s="313" t="s">
        <v>199</v>
      </c>
      <c r="D111" s="307"/>
      <c r="E111" s="308" t="s">
        <v>96</v>
      </c>
      <c r="F111" s="309">
        <f>'Qtr 1 Budget'!H111</f>
        <v>549205</v>
      </c>
      <c r="G111" s="400"/>
      <c r="H111" s="310">
        <f t="shared" si="84"/>
        <v>549205</v>
      </c>
      <c r="I111" s="401"/>
      <c r="J111" s="309">
        <f>'Qtr 1 Budget'!L111</f>
        <v>200000</v>
      </c>
      <c r="K111" s="400"/>
      <c r="L111" s="310">
        <f t="shared" si="85"/>
        <v>200000</v>
      </c>
      <c r="M111" s="402"/>
      <c r="N111" s="309">
        <f t="shared" si="86"/>
        <v>749205</v>
      </c>
      <c r="O111" s="310">
        <f t="shared" si="87"/>
        <v>0</v>
      </c>
      <c r="P111" s="310">
        <f t="shared" si="88"/>
        <v>749205</v>
      </c>
      <c r="Q111" s="311">
        <f t="shared" si="89"/>
        <v>0</v>
      </c>
      <c r="R111" s="312">
        <f t="shared" si="90"/>
        <v>0.14574970900790302</v>
      </c>
      <c r="S111" s="312">
        <f t="shared" si="91"/>
        <v>0</v>
      </c>
      <c r="T111" s="417"/>
    </row>
    <row r="112" spans="1:20" ht="15" customHeight="1">
      <c r="A112" s="314">
        <f t="shared" si="55"/>
        <v>102</v>
      </c>
      <c r="B112" s="315"/>
      <c r="C112" s="315"/>
      <c r="D112" s="316" t="s">
        <v>79</v>
      </c>
      <c r="E112" s="317" t="s">
        <v>14</v>
      </c>
      <c r="F112" s="318">
        <f>SUM(F108:F111)</f>
        <v>579382</v>
      </c>
      <c r="G112" s="319">
        <f t="shared" ref="G112:Q112" si="92">SUM(G108:G111)</f>
        <v>0</v>
      </c>
      <c r="H112" s="319">
        <f t="shared" si="92"/>
        <v>579382</v>
      </c>
      <c r="I112" s="320">
        <f t="shared" si="92"/>
        <v>0</v>
      </c>
      <c r="J112" s="318">
        <f t="shared" si="92"/>
        <v>200000</v>
      </c>
      <c r="K112" s="319">
        <f t="shared" si="92"/>
        <v>0</v>
      </c>
      <c r="L112" s="319">
        <f t="shared" si="92"/>
        <v>200000</v>
      </c>
      <c r="M112" s="320">
        <f t="shared" si="92"/>
        <v>0</v>
      </c>
      <c r="N112" s="318">
        <f t="shared" si="92"/>
        <v>779382</v>
      </c>
      <c r="O112" s="319">
        <f t="shared" si="92"/>
        <v>0</v>
      </c>
      <c r="P112" s="319">
        <f t="shared" si="92"/>
        <v>779382</v>
      </c>
      <c r="Q112" s="321">
        <f t="shared" si="92"/>
        <v>0</v>
      </c>
      <c r="R112" s="322">
        <f t="shared" si="90"/>
        <v>0.15162031714416943</v>
      </c>
      <c r="S112" s="322">
        <f t="shared" si="91"/>
        <v>0</v>
      </c>
      <c r="T112" s="418"/>
    </row>
    <row r="113" spans="1:20" ht="17.25" customHeight="1">
      <c r="A113" s="323">
        <f t="shared" si="55"/>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5"/>
        <v>104</v>
      </c>
      <c r="B114" s="332"/>
      <c r="C114" s="306" t="s">
        <v>24</v>
      </c>
      <c r="D114" s="307"/>
      <c r="E114" s="308">
        <v>411</v>
      </c>
      <c r="F114" s="309">
        <f>'Qtr 1 Budget'!H114</f>
        <v>24500</v>
      </c>
      <c r="G114" s="400"/>
      <c r="H114" s="310">
        <f t="shared" ref="H114:H118" si="93">SUM(F114:G114)</f>
        <v>24500</v>
      </c>
      <c r="I114" s="401"/>
      <c r="J114" s="309">
        <f>'Qtr 1 Budget'!L114</f>
        <v>0</v>
      </c>
      <c r="K114" s="400"/>
      <c r="L114" s="310">
        <f t="shared" ref="L114:L118" si="94">SUM(J114:K114)</f>
        <v>0</v>
      </c>
      <c r="M114" s="402"/>
      <c r="N114" s="309">
        <f t="shared" ref="N114:N118" si="95">F114+J114</f>
        <v>24500</v>
      </c>
      <c r="O114" s="310">
        <f t="shared" ref="O114:O118" si="96">K114+G114</f>
        <v>0</v>
      </c>
      <c r="P114" s="310">
        <f t="shared" ref="P114:P118" si="97">SUM(N114:O114)</f>
        <v>24500</v>
      </c>
      <c r="Q114" s="311">
        <f t="shared" ref="Q114:Q118" si="98">M114+I114</f>
        <v>0</v>
      </c>
      <c r="R114" s="312">
        <f t="shared" ref="R114:R119" si="99">P114/$P$156</f>
        <v>4.7662093428282298E-3</v>
      </c>
      <c r="S114" s="312">
        <f t="shared" ref="S114:S119" si="100">IFERROR(Q114/P114,"")</f>
        <v>0</v>
      </c>
      <c r="T114" s="417"/>
    </row>
    <row r="115" spans="1:20" ht="15" customHeight="1">
      <c r="A115" s="305">
        <f t="shared" si="55"/>
        <v>105</v>
      </c>
      <c r="B115" s="332"/>
      <c r="C115" s="333" t="s">
        <v>114</v>
      </c>
      <c r="D115" s="307"/>
      <c r="E115" s="308">
        <v>441</v>
      </c>
      <c r="F115" s="309">
        <f>'Qtr 1 Budget'!H115</f>
        <v>0</v>
      </c>
      <c r="G115" s="400"/>
      <c r="H115" s="310">
        <f t="shared" si="93"/>
        <v>0</v>
      </c>
      <c r="I115" s="401"/>
      <c r="J115" s="309">
        <f>'Qtr 1 Budget'!L115</f>
        <v>0</v>
      </c>
      <c r="K115" s="400"/>
      <c r="L115" s="310">
        <f t="shared" si="94"/>
        <v>0</v>
      </c>
      <c r="M115" s="402"/>
      <c r="N115" s="309">
        <f t="shared" si="95"/>
        <v>0</v>
      </c>
      <c r="O115" s="310">
        <f t="shared" si="96"/>
        <v>0</v>
      </c>
      <c r="P115" s="310">
        <f t="shared" si="97"/>
        <v>0</v>
      </c>
      <c r="Q115" s="311">
        <f t="shared" si="98"/>
        <v>0</v>
      </c>
      <c r="R115" s="312">
        <f t="shared" si="99"/>
        <v>0</v>
      </c>
      <c r="S115" s="312" t="str">
        <f t="shared" si="100"/>
        <v/>
      </c>
      <c r="T115" s="417"/>
    </row>
    <row r="116" spans="1:20" ht="15" customHeight="1">
      <c r="A116" s="305">
        <f t="shared" si="55"/>
        <v>106</v>
      </c>
      <c r="B116" s="332"/>
      <c r="C116" s="306" t="s">
        <v>97</v>
      </c>
      <c r="D116" s="307"/>
      <c r="E116" s="308">
        <v>442</v>
      </c>
      <c r="F116" s="309">
        <f>'Qtr 1 Budget'!H116</f>
        <v>22070</v>
      </c>
      <c r="G116" s="400"/>
      <c r="H116" s="310">
        <f t="shared" si="93"/>
        <v>22070</v>
      </c>
      <c r="I116" s="401"/>
      <c r="J116" s="309">
        <f>'Qtr 1 Budget'!L116</f>
        <v>0</v>
      </c>
      <c r="K116" s="400"/>
      <c r="L116" s="310">
        <f t="shared" si="94"/>
        <v>0</v>
      </c>
      <c r="M116" s="402"/>
      <c r="N116" s="309">
        <f t="shared" si="95"/>
        <v>22070</v>
      </c>
      <c r="O116" s="310">
        <f t="shared" si="96"/>
        <v>0</v>
      </c>
      <c r="P116" s="310">
        <f t="shared" si="97"/>
        <v>22070</v>
      </c>
      <c r="Q116" s="311">
        <f t="shared" si="98"/>
        <v>0</v>
      </c>
      <c r="R116" s="312">
        <f t="shared" si="99"/>
        <v>4.2934791916824097E-3</v>
      </c>
      <c r="S116" s="312">
        <f t="shared" si="100"/>
        <v>0</v>
      </c>
      <c r="T116" s="417"/>
    </row>
    <row r="117" spans="1:20" ht="15" customHeight="1">
      <c r="A117" s="305">
        <f t="shared" si="55"/>
        <v>107</v>
      </c>
      <c r="B117" s="332"/>
      <c r="C117" s="306" t="s">
        <v>36</v>
      </c>
      <c r="D117" s="307"/>
      <c r="E117" s="308">
        <v>430</v>
      </c>
      <c r="F117" s="309">
        <f>'Qtr 1 Budget'!H117</f>
        <v>81000</v>
      </c>
      <c r="G117" s="400"/>
      <c r="H117" s="310">
        <f t="shared" si="93"/>
        <v>81000</v>
      </c>
      <c r="I117" s="401"/>
      <c r="J117" s="309">
        <f>'Qtr 1 Budget'!L117</f>
        <v>0</v>
      </c>
      <c r="K117" s="400"/>
      <c r="L117" s="310">
        <f t="shared" si="94"/>
        <v>0</v>
      </c>
      <c r="M117" s="402"/>
      <c r="N117" s="309">
        <f t="shared" si="95"/>
        <v>81000</v>
      </c>
      <c r="O117" s="310">
        <f t="shared" si="96"/>
        <v>0</v>
      </c>
      <c r="P117" s="310">
        <f t="shared" si="97"/>
        <v>81000</v>
      </c>
      <c r="Q117" s="311">
        <f t="shared" si="98"/>
        <v>0</v>
      </c>
      <c r="R117" s="312">
        <f t="shared" si="99"/>
        <v>1.5757671704860678E-2</v>
      </c>
      <c r="S117" s="312">
        <f t="shared" si="100"/>
        <v>0</v>
      </c>
      <c r="T117" s="417"/>
    </row>
    <row r="118" spans="1:20" ht="15" customHeight="1">
      <c r="A118" s="305">
        <f t="shared" si="55"/>
        <v>108</v>
      </c>
      <c r="B118" s="306"/>
      <c r="C118" s="313" t="s">
        <v>200</v>
      </c>
      <c r="D118" s="307"/>
      <c r="E118" s="334" t="s">
        <v>98</v>
      </c>
      <c r="F118" s="309">
        <f>'Qtr 1 Budget'!H118</f>
        <v>78100</v>
      </c>
      <c r="G118" s="400"/>
      <c r="H118" s="310">
        <f t="shared" si="93"/>
        <v>78100</v>
      </c>
      <c r="I118" s="401"/>
      <c r="J118" s="309">
        <f>'Qtr 1 Budget'!L118</f>
        <v>0</v>
      </c>
      <c r="K118" s="400"/>
      <c r="L118" s="310">
        <f t="shared" si="94"/>
        <v>0</v>
      </c>
      <c r="M118" s="402"/>
      <c r="N118" s="309">
        <f t="shared" si="95"/>
        <v>78100</v>
      </c>
      <c r="O118" s="310">
        <f t="shared" si="96"/>
        <v>0</v>
      </c>
      <c r="P118" s="310">
        <f t="shared" si="97"/>
        <v>78100</v>
      </c>
      <c r="Q118" s="311">
        <f t="shared" si="98"/>
        <v>0</v>
      </c>
      <c r="R118" s="312">
        <f t="shared" si="99"/>
        <v>1.5193508149995295E-2</v>
      </c>
      <c r="S118" s="312">
        <f t="shared" si="100"/>
        <v>0</v>
      </c>
      <c r="T118" s="417"/>
    </row>
    <row r="119" spans="1:20" ht="15" customHeight="1" thickBot="1">
      <c r="A119" s="219">
        <f t="shared" si="55"/>
        <v>109</v>
      </c>
      <c r="B119" s="195"/>
      <c r="C119" s="195" t="s">
        <v>82</v>
      </c>
      <c r="D119" s="196"/>
      <c r="E119" s="197">
        <v>400</v>
      </c>
      <c r="F119" s="223">
        <f>SUM(F114:F118)</f>
        <v>205670</v>
      </c>
      <c r="G119" s="226">
        <f t="shared" ref="G119:Q119" si="101">SUM(G114:G118)</f>
        <v>0</v>
      </c>
      <c r="H119" s="226">
        <f t="shared" si="101"/>
        <v>205670</v>
      </c>
      <c r="I119" s="199">
        <f t="shared" si="101"/>
        <v>0</v>
      </c>
      <c r="J119" s="223">
        <f t="shared" si="101"/>
        <v>0</v>
      </c>
      <c r="K119" s="226">
        <f t="shared" si="101"/>
        <v>0</v>
      </c>
      <c r="L119" s="226">
        <f t="shared" si="101"/>
        <v>0</v>
      </c>
      <c r="M119" s="199">
        <f t="shared" si="101"/>
        <v>0</v>
      </c>
      <c r="N119" s="223">
        <f t="shared" si="101"/>
        <v>205670</v>
      </c>
      <c r="O119" s="226">
        <f t="shared" si="101"/>
        <v>0</v>
      </c>
      <c r="P119" s="226">
        <f t="shared" si="101"/>
        <v>205670</v>
      </c>
      <c r="Q119" s="198">
        <f t="shared" si="101"/>
        <v>0</v>
      </c>
      <c r="R119" s="194">
        <f t="shared" si="99"/>
        <v>4.0010868389366613E-2</v>
      </c>
      <c r="S119" s="194">
        <f t="shared" si="100"/>
        <v>0</v>
      </c>
      <c r="T119" s="415"/>
    </row>
    <row r="120" spans="1:20" ht="17.25" customHeight="1" thickTop="1">
      <c r="A120" s="268">
        <f t="shared" si="55"/>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5"/>
        <v>111</v>
      </c>
      <c r="B121" s="302"/>
      <c r="C121" s="288" t="s">
        <v>15</v>
      </c>
      <c r="D121" s="231"/>
      <c r="E121" s="245" t="s">
        <v>16</v>
      </c>
      <c r="F121" s="290">
        <f>'Qtr 1 Budget'!H121</f>
        <v>301360</v>
      </c>
      <c r="G121" s="398"/>
      <c r="H121" s="291">
        <f t="shared" ref="H121:H129" si="102">SUM(F121:G121)</f>
        <v>301360</v>
      </c>
      <c r="I121" s="393"/>
      <c r="J121" s="290">
        <f>'Qtr 1 Budget'!L121</f>
        <v>50000</v>
      </c>
      <c r="K121" s="398"/>
      <c r="L121" s="291">
        <f t="shared" ref="L121:L129" si="103">SUM(J121:K121)</f>
        <v>50000</v>
      </c>
      <c r="M121" s="399"/>
      <c r="N121" s="290">
        <f t="shared" ref="N121:N129" si="104">F121+J121</f>
        <v>351360</v>
      </c>
      <c r="O121" s="291">
        <f t="shared" ref="O121:O129" si="105">K121+G121</f>
        <v>0</v>
      </c>
      <c r="P121" s="291">
        <f t="shared" ref="P121:P129" si="106">SUM(N121:O121)</f>
        <v>351360</v>
      </c>
      <c r="Q121" s="289">
        <f t="shared" ref="Q121:Q129" si="107">M121+I121</f>
        <v>0</v>
      </c>
      <c r="R121" s="251">
        <f t="shared" ref="R121:R130" si="108">P121/$P$156</f>
        <v>6.8353278150862312E-2</v>
      </c>
      <c r="S121" s="251">
        <f t="shared" ref="S121:S130" si="109">IFERROR(Q121/P121,"")</f>
        <v>0</v>
      </c>
      <c r="T121" s="407"/>
    </row>
    <row r="122" spans="1:20" ht="15" customHeight="1">
      <c r="A122" s="243">
        <f t="shared" si="55"/>
        <v>112</v>
      </c>
      <c r="B122" s="302"/>
      <c r="C122" s="288" t="s">
        <v>146</v>
      </c>
      <c r="D122" s="231"/>
      <c r="E122" s="245">
        <v>522</v>
      </c>
      <c r="F122" s="290">
        <f>'Qtr 1 Budget'!H122</f>
        <v>26650</v>
      </c>
      <c r="G122" s="398"/>
      <c r="H122" s="291">
        <f t="shared" si="102"/>
        <v>26650</v>
      </c>
      <c r="I122" s="393"/>
      <c r="J122" s="290">
        <f>'Qtr 1 Budget'!L122</f>
        <v>0</v>
      </c>
      <c r="K122" s="398"/>
      <c r="L122" s="291">
        <f t="shared" si="103"/>
        <v>0</v>
      </c>
      <c r="M122" s="399"/>
      <c r="N122" s="290">
        <f t="shared" si="104"/>
        <v>26650</v>
      </c>
      <c r="O122" s="291">
        <f t="shared" si="105"/>
        <v>0</v>
      </c>
      <c r="P122" s="291">
        <f t="shared" si="106"/>
        <v>26650</v>
      </c>
      <c r="Q122" s="289">
        <f t="shared" si="107"/>
        <v>0</v>
      </c>
      <c r="R122" s="251">
        <f t="shared" si="108"/>
        <v>5.1844685300560132E-3</v>
      </c>
      <c r="S122" s="251">
        <f t="shared" si="109"/>
        <v>0</v>
      </c>
      <c r="T122" s="407"/>
    </row>
    <row r="123" spans="1:20" ht="15" customHeight="1">
      <c r="A123" s="243">
        <f t="shared" si="55"/>
        <v>113</v>
      </c>
      <c r="B123" s="302"/>
      <c r="C123" s="288" t="s">
        <v>147</v>
      </c>
      <c r="D123" s="231"/>
      <c r="E123" s="245">
        <v>521</v>
      </c>
      <c r="F123" s="290">
        <f>'Qtr 1 Budget'!H123</f>
        <v>51000</v>
      </c>
      <c r="G123" s="398"/>
      <c r="H123" s="291">
        <f t="shared" si="102"/>
        <v>51000</v>
      </c>
      <c r="I123" s="393"/>
      <c r="J123" s="290">
        <f>'Qtr 1 Budget'!L123</f>
        <v>0</v>
      </c>
      <c r="K123" s="398"/>
      <c r="L123" s="291">
        <f t="shared" si="103"/>
        <v>0</v>
      </c>
      <c r="M123" s="399"/>
      <c r="N123" s="290">
        <f t="shared" si="104"/>
        <v>51000</v>
      </c>
      <c r="O123" s="291">
        <f t="shared" si="105"/>
        <v>0</v>
      </c>
      <c r="P123" s="291">
        <f t="shared" si="106"/>
        <v>51000</v>
      </c>
      <c r="Q123" s="289">
        <f t="shared" si="107"/>
        <v>0</v>
      </c>
      <c r="R123" s="251">
        <f t="shared" si="108"/>
        <v>9.9214969993567225E-3</v>
      </c>
      <c r="S123" s="251">
        <f t="shared" si="109"/>
        <v>0</v>
      </c>
      <c r="T123" s="407"/>
    </row>
    <row r="124" spans="1:20" ht="15" customHeight="1">
      <c r="A124" s="243">
        <f t="shared" si="55"/>
        <v>114</v>
      </c>
      <c r="B124" s="302"/>
      <c r="C124" s="288" t="s">
        <v>148</v>
      </c>
      <c r="D124" s="231"/>
      <c r="E124" s="245">
        <v>523</v>
      </c>
      <c r="F124" s="290">
        <f>'Qtr 1 Budget'!H124</f>
        <v>0</v>
      </c>
      <c r="G124" s="398"/>
      <c r="H124" s="291">
        <f t="shared" si="102"/>
        <v>0</v>
      </c>
      <c r="I124" s="393"/>
      <c r="J124" s="290">
        <f>'Qtr 1 Budget'!L124</f>
        <v>0</v>
      </c>
      <c r="K124" s="398"/>
      <c r="L124" s="291">
        <f t="shared" si="103"/>
        <v>0</v>
      </c>
      <c r="M124" s="399"/>
      <c r="N124" s="290">
        <f t="shared" si="104"/>
        <v>0</v>
      </c>
      <c r="O124" s="291">
        <f t="shared" si="105"/>
        <v>0</v>
      </c>
      <c r="P124" s="291">
        <f t="shared" si="106"/>
        <v>0</v>
      </c>
      <c r="Q124" s="289">
        <f t="shared" si="107"/>
        <v>0</v>
      </c>
      <c r="R124" s="251">
        <f t="shared" si="108"/>
        <v>0</v>
      </c>
      <c r="S124" s="251" t="str">
        <f t="shared" si="109"/>
        <v/>
      </c>
      <c r="T124" s="407"/>
    </row>
    <row r="125" spans="1:20" ht="15" customHeight="1">
      <c r="A125" s="243">
        <f t="shared" si="55"/>
        <v>115</v>
      </c>
      <c r="B125" s="302"/>
      <c r="C125" s="288" t="s">
        <v>149</v>
      </c>
      <c r="D125" s="231"/>
      <c r="E125" s="245">
        <v>524</v>
      </c>
      <c r="F125" s="290">
        <f>'Qtr 1 Budget'!H125</f>
        <v>0</v>
      </c>
      <c r="G125" s="398"/>
      <c r="H125" s="291">
        <f t="shared" si="102"/>
        <v>0</v>
      </c>
      <c r="I125" s="393"/>
      <c r="J125" s="290">
        <f>'Qtr 1 Budget'!L125</f>
        <v>0</v>
      </c>
      <c r="K125" s="398"/>
      <c r="L125" s="291">
        <f t="shared" si="103"/>
        <v>0</v>
      </c>
      <c r="M125" s="399"/>
      <c r="N125" s="290">
        <f t="shared" si="104"/>
        <v>0</v>
      </c>
      <c r="O125" s="291">
        <f t="shared" si="105"/>
        <v>0</v>
      </c>
      <c r="P125" s="291">
        <f t="shared" si="106"/>
        <v>0</v>
      </c>
      <c r="Q125" s="289">
        <f t="shared" si="107"/>
        <v>0</v>
      </c>
      <c r="R125" s="251">
        <f t="shared" si="108"/>
        <v>0</v>
      </c>
      <c r="S125" s="251" t="str">
        <f t="shared" si="109"/>
        <v/>
      </c>
      <c r="T125" s="407"/>
    </row>
    <row r="126" spans="1:20" ht="15" customHeight="1">
      <c r="A126" s="243">
        <f t="shared" si="55"/>
        <v>116</v>
      </c>
      <c r="B126" s="302"/>
      <c r="C126" s="244" t="s">
        <v>150</v>
      </c>
      <c r="D126" s="231"/>
      <c r="E126" s="245">
        <v>525</v>
      </c>
      <c r="F126" s="290">
        <f>'Qtr 1 Budget'!H126</f>
        <v>0</v>
      </c>
      <c r="G126" s="398"/>
      <c r="H126" s="291">
        <f t="shared" si="102"/>
        <v>0</v>
      </c>
      <c r="I126" s="393"/>
      <c r="J126" s="290">
        <f>'Qtr 1 Budget'!L126</f>
        <v>0</v>
      </c>
      <c r="K126" s="398"/>
      <c r="L126" s="291">
        <f t="shared" si="103"/>
        <v>0</v>
      </c>
      <c r="M126" s="399"/>
      <c r="N126" s="290">
        <f t="shared" si="104"/>
        <v>0</v>
      </c>
      <c r="O126" s="291">
        <f t="shared" si="105"/>
        <v>0</v>
      </c>
      <c r="P126" s="291">
        <f t="shared" si="106"/>
        <v>0</v>
      </c>
      <c r="Q126" s="289">
        <f t="shared" si="107"/>
        <v>0</v>
      </c>
      <c r="R126" s="251">
        <f t="shared" si="108"/>
        <v>0</v>
      </c>
      <c r="S126" s="251" t="str">
        <f t="shared" si="109"/>
        <v/>
      </c>
      <c r="T126" s="407"/>
    </row>
    <row r="127" spans="1:20" ht="17.25" customHeight="1">
      <c r="A127" s="243">
        <f t="shared" si="55"/>
        <v>117</v>
      </c>
      <c r="B127" s="244"/>
      <c r="C127" s="288" t="s">
        <v>115</v>
      </c>
      <c r="D127" s="231"/>
      <c r="E127" s="304" t="s">
        <v>100</v>
      </c>
      <c r="F127" s="290">
        <f>'Qtr 1 Budget'!H127</f>
        <v>267500</v>
      </c>
      <c r="G127" s="398"/>
      <c r="H127" s="291">
        <f t="shared" si="102"/>
        <v>267500</v>
      </c>
      <c r="I127" s="393"/>
      <c r="J127" s="290">
        <f>'Qtr 1 Budget'!L127</f>
        <v>0</v>
      </c>
      <c r="K127" s="398"/>
      <c r="L127" s="291">
        <f t="shared" si="103"/>
        <v>0</v>
      </c>
      <c r="M127" s="399"/>
      <c r="N127" s="290">
        <f t="shared" si="104"/>
        <v>267500</v>
      </c>
      <c r="O127" s="291">
        <f t="shared" si="105"/>
        <v>0</v>
      </c>
      <c r="P127" s="291">
        <f t="shared" si="106"/>
        <v>267500</v>
      </c>
      <c r="Q127" s="289">
        <f t="shared" si="107"/>
        <v>0</v>
      </c>
      <c r="R127" s="251">
        <f t="shared" si="108"/>
        <v>5.2039224457410264E-2</v>
      </c>
      <c r="S127" s="251">
        <f t="shared" si="109"/>
        <v>0</v>
      </c>
      <c r="T127" s="407"/>
    </row>
    <row r="128" spans="1:20" ht="17.25" customHeight="1">
      <c r="A128" s="243">
        <f t="shared" si="55"/>
        <v>118</v>
      </c>
      <c r="B128" s="244"/>
      <c r="C128" s="244" t="s">
        <v>17</v>
      </c>
      <c r="D128" s="231"/>
      <c r="E128" s="245" t="s">
        <v>131</v>
      </c>
      <c r="F128" s="290">
        <f>'Qtr 1 Budget'!H128</f>
        <v>20000</v>
      </c>
      <c r="G128" s="398"/>
      <c r="H128" s="291">
        <f t="shared" si="102"/>
        <v>20000</v>
      </c>
      <c r="I128" s="393"/>
      <c r="J128" s="290">
        <f>'Qtr 1 Budget'!L128</f>
        <v>0</v>
      </c>
      <c r="K128" s="398"/>
      <c r="L128" s="291">
        <f t="shared" si="103"/>
        <v>0</v>
      </c>
      <c r="M128" s="399"/>
      <c r="N128" s="290">
        <f t="shared" si="104"/>
        <v>20000</v>
      </c>
      <c r="O128" s="291">
        <f t="shared" si="105"/>
        <v>0</v>
      </c>
      <c r="P128" s="291">
        <f t="shared" si="106"/>
        <v>20000</v>
      </c>
      <c r="Q128" s="289">
        <f t="shared" si="107"/>
        <v>0</v>
      </c>
      <c r="R128" s="251">
        <f t="shared" si="108"/>
        <v>3.8907831370026363E-3</v>
      </c>
      <c r="S128" s="251">
        <f t="shared" si="109"/>
        <v>0</v>
      </c>
      <c r="T128" s="407"/>
    </row>
    <row r="129" spans="1:20" ht="15" customHeight="1">
      <c r="A129" s="243">
        <f t="shared" si="55"/>
        <v>119</v>
      </c>
      <c r="B129" s="244"/>
      <c r="C129" s="288" t="s">
        <v>201</v>
      </c>
      <c r="D129" s="231"/>
      <c r="E129" s="245" t="s">
        <v>121</v>
      </c>
      <c r="F129" s="290">
        <f>'Qtr 1 Budget'!H129</f>
        <v>52632.518717202795</v>
      </c>
      <c r="G129" s="398"/>
      <c r="H129" s="291">
        <f t="shared" si="102"/>
        <v>52632.518717202795</v>
      </c>
      <c r="I129" s="393"/>
      <c r="J129" s="290">
        <f>'Qtr 1 Budget'!L129</f>
        <v>50000</v>
      </c>
      <c r="K129" s="398"/>
      <c r="L129" s="291">
        <f t="shared" si="103"/>
        <v>50000</v>
      </c>
      <c r="M129" s="399"/>
      <c r="N129" s="290">
        <f t="shared" si="104"/>
        <v>102632.51871720279</v>
      </c>
      <c r="O129" s="291">
        <f t="shared" si="105"/>
        <v>0</v>
      </c>
      <c r="P129" s="291">
        <f t="shared" si="106"/>
        <v>102632.51871720279</v>
      </c>
      <c r="Q129" s="289">
        <f t="shared" si="107"/>
        <v>0</v>
      </c>
      <c r="R129" s="251">
        <f t="shared" si="108"/>
        <v>1.9966043656650004E-2</v>
      </c>
      <c r="S129" s="251">
        <f t="shared" si="109"/>
        <v>0</v>
      </c>
      <c r="T129" s="407"/>
    </row>
    <row r="130" spans="1:20" ht="15" customHeight="1">
      <c r="A130" s="256">
        <f t="shared" si="55"/>
        <v>120</v>
      </c>
      <c r="B130" s="257"/>
      <c r="C130" s="257" t="s">
        <v>104</v>
      </c>
      <c r="D130" s="341"/>
      <c r="E130" s="293">
        <v>500</v>
      </c>
      <c r="F130" s="294">
        <f>SUM(F121:F129)</f>
        <v>719142.51871720282</v>
      </c>
      <c r="G130" s="295">
        <f t="shared" ref="G130:Q130" si="110">SUM(G121:G129)</f>
        <v>0</v>
      </c>
      <c r="H130" s="295">
        <f t="shared" si="110"/>
        <v>719142.51871720282</v>
      </c>
      <c r="I130" s="296">
        <f t="shared" si="110"/>
        <v>0</v>
      </c>
      <c r="J130" s="294">
        <f t="shared" si="110"/>
        <v>100000</v>
      </c>
      <c r="K130" s="295">
        <f t="shared" si="110"/>
        <v>0</v>
      </c>
      <c r="L130" s="295">
        <f t="shared" si="110"/>
        <v>100000</v>
      </c>
      <c r="M130" s="296">
        <f t="shared" si="110"/>
        <v>0</v>
      </c>
      <c r="N130" s="294">
        <f t="shared" si="110"/>
        <v>819142.51871720282</v>
      </c>
      <c r="O130" s="295">
        <f t="shared" si="110"/>
        <v>0</v>
      </c>
      <c r="P130" s="295">
        <f t="shared" si="110"/>
        <v>819142.51871720282</v>
      </c>
      <c r="Q130" s="297">
        <f t="shared" si="110"/>
        <v>0</v>
      </c>
      <c r="R130" s="263">
        <f t="shared" si="108"/>
        <v>0.15935529493133796</v>
      </c>
      <c r="S130" s="263">
        <f t="shared" si="109"/>
        <v>0</v>
      </c>
      <c r="T130" s="408"/>
    </row>
    <row r="131" spans="1:20" ht="15" customHeight="1">
      <c r="A131" s="234">
        <f t="shared" si="55"/>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5"/>
        <v>122</v>
      </c>
      <c r="B132" s="302"/>
      <c r="C132" s="303" t="s">
        <v>39</v>
      </c>
      <c r="D132" s="231"/>
      <c r="E132" s="245">
        <v>610</v>
      </c>
      <c r="F132" s="290">
        <f>'Qtr 1 Budget'!H132</f>
        <v>138750</v>
      </c>
      <c r="G132" s="398"/>
      <c r="H132" s="291">
        <f t="shared" ref="H132:H136" si="111">SUM(F132:G132)</f>
        <v>138750</v>
      </c>
      <c r="I132" s="393"/>
      <c r="J132" s="290">
        <f>'Qtr 1 Budget'!L132</f>
        <v>50000</v>
      </c>
      <c r="K132" s="398"/>
      <c r="L132" s="291">
        <f t="shared" ref="L132:L136" si="112">SUM(J132:K132)</f>
        <v>50000</v>
      </c>
      <c r="M132" s="399"/>
      <c r="N132" s="290">
        <f t="shared" ref="N132:N136" si="113">F132+J132</f>
        <v>188750</v>
      </c>
      <c r="O132" s="291">
        <f t="shared" ref="O132:O136" si="114">K132+G132</f>
        <v>0</v>
      </c>
      <c r="P132" s="291">
        <f t="shared" ref="P132:P136" si="115">SUM(N132:O132)</f>
        <v>188750</v>
      </c>
      <c r="Q132" s="289">
        <f t="shared" ref="Q132:Q136" si="116">M132+I132</f>
        <v>0</v>
      </c>
      <c r="R132" s="251">
        <f t="shared" ref="R132:R137" si="117">P132/$P$156</f>
        <v>3.6719265855462382E-2</v>
      </c>
      <c r="S132" s="251">
        <f t="shared" ref="S132:S137" si="118">IFERROR(Q132/P132,"")</f>
        <v>0</v>
      </c>
      <c r="T132" s="407"/>
    </row>
    <row r="133" spans="1:20" ht="15" customHeight="1">
      <c r="A133" s="243">
        <f t="shared" si="55"/>
        <v>123</v>
      </c>
      <c r="B133" s="302"/>
      <c r="C133" s="303" t="s">
        <v>71</v>
      </c>
      <c r="D133" s="231"/>
      <c r="E133" s="245" t="s">
        <v>18</v>
      </c>
      <c r="F133" s="290">
        <f>'Qtr 1 Budget'!H133</f>
        <v>112500</v>
      </c>
      <c r="G133" s="398"/>
      <c r="H133" s="291">
        <f t="shared" si="111"/>
        <v>112500</v>
      </c>
      <c r="I133" s="393"/>
      <c r="J133" s="290">
        <f>'Qtr 1 Budget'!L133</f>
        <v>0</v>
      </c>
      <c r="K133" s="398"/>
      <c r="L133" s="291">
        <f t="shared" si="112"/>
        <v>0</v>
      </c>
      <c r="M133" s="399"/>
      <c r="N133" s="290">
        <f t="shared" si="113"/>
        <v>112500</v>
      </c>
      <c r="O133" s="291">
        <f t="shared" si="114"/>
        <v>0</v>
      </c>
      <c r="P133" s="291">
        <f t="shared" si="115"/>
        <v>112500</v>
      </c>
      <c r="Q133" s="289">
        <f t="shared" si="116"/>
        <v>0</v>
      </c>
      <c r="R133" s="251">
        <f t="shared" si="117"/>
        <v>2.188565514563983E-2</v>
      </c>
      <c r="S133" s="251">
        <f t="shared" si="118"/>
        <v>0</v>
      </c>
      <c r="T133" s="407"/>
    </row>
    <row r="134" spans="1:20" ht="17.25" customHeight="1">
      <c r="A134" s="243">
        <f t="shared" si="55"/>
        <v>124</v>
      </c>
      <c r="B134" s="302"/>
      <c r="C134" s="303" t="s">
        <v>37</v>
      </c>
      <c r="D134" s="231"/>
      <c r="E134" s="245" t="s">
        <v>101</v>
      </c>
      <c r="F134" s="290">
        <f>'Qtr 1 Budget'!H134</f>
        <v>0</v>
      </c>
      <c r="G134" s="398"/>
      <c r="H134" s="291">
        <f t="shared" si="111"/>
        <v>0</v>
      </c>
      <c r="I134" s="393"/>
      <c r="J134" s="290">
        <f>'Qtr 1 Budget'!L134</f>
        <v>0</v>
      </c>
      <c r="K134" s="398"/>
      <c r="L134" s="291">
        <f t="shared" si="112"/>
        <v>0</v>
      </c>
      <c r="M134" s="399"/>
      <c r="N134" s="290">
        <f t="shared" si="113"/>
        <v>0</v>
      </c>
      <c r="O134" s="291">
        <f t="shared" si="114"/>
        <v>0</v>
      </c>
      <c r="P134" s="291">
        <f t="shared" si="115"/>
        <v>0</v>
      </c>
      <c r="Q134" s="289">
        <f t="shared" si="116"/>
        <v>0</v>
      </c>
      <c r="R134" s="251">
        <f t="shared" si="117"/>
        <v>0</v>
      </c>
      <c r="S134" s="251" t="str">
        <f t="shared" si="118"/>
        <v/>
      </c>
      <c r="T134" s="407"/>
    </row>
    <row r="135" spans="1:20" ht="17.25" customHeight="1">
      <c r="A135" s="243">
        <f t="shared" si="55"/>
        <v>125</v>
      </c>
      <c r="B135" s="302"/>
      <c r="C135" s="244" t="s">
        <v>72</v>
      </c>
      <c r="D135" s="231"/>
      <c r="E135" s="245" t="s">
        <v>132</v>
      </c>
      <c r="F135" s="290">
        <f>'Qtr 1 Budget'!H135</f>
        <v>37500</v>
      </c>
      <c r="G135" s="398"/>
      <c r="H135" s="291">
        <f t="shared" si="111"/>
        <v>37500</v>
      </c>
      <c r="I135" s="393"/>
      <c r="J135" s="290">
        <f>'Qtr 1 Budget'!L135</f>
        <v>0</v>
      </c>
      <c r="K135" s="398"/>
      <c r="L135" s="291">
        <f t="shared" si="112"/>
        <v>0</v>
      </c>
      <c r="M135" s="399"/>
      <c r="N135" s="290">
        <f t="shared" si="113"/>
        <v>37500</v>
      </c>
      <c r="O135" s="291">
        <f t="shared" si="114"/>
        <v>0</v>
      </c>
      <c r="P135" s="291">
        <f t="shared" si="115"/>
        <v>37500</v>
      </c>
      <c r="Q135" s="289">
        <f t="shared" si="116"/>
        <v>0</v>
      </c>
      <c r="R135" s="251">
        <f t="shared" si="117"/>
        <v>7.2952183818799435E-3</v>
      </c>
      <c r="S135" s="251">
        <f t="shared" si="118"/>
        <v>0</v>
      </c>
      <c r="T135" s="407"/>
    </row>
    <row r="136" spans="1:20" ht="15" customHeight="1">
      <c r="A136" s="243">
        <f t="shared" si="55"/>
        <v>126</v>
      </c>
      <c r="B136" s="302"/>
      <c r="C136" s="288" t="s">
        <v>202</v>
      </c>
      <c r="D136" s="231"/>
      <c r="E136" s="245" t="s">
        <v>38</v>
      </c>
      <c r="F136" s="290">
        <f>'Qtr 1 Budget'!H136</f>
        <v>57500</v>
      </c>
      <c r="G136" s="398"/>
      <c r="H136" s="291">
        <f t="shared" si="111"/>
        <v>57500</v>
      </c>
      <c r="I136" s="393"/>
      <c r="J136" s="290">
        <f>'Qtr 1 Budget'!L136</f>
        <v>0</v>
      </c>
      <c r="K136" s="398"/>
      <c r="L136" s="291">
        <f t="shared" si="112"/>
        <v>0</v>
      </c>
      <c r="M136" s="399"/>
      <c r="N136" s="290">
        <f t="shared" si="113"/>
        <v>57500</v>
      </c>
      <c r="O136" s="291">
        <f t="shared" si="114"/>
        <v>0</v>
      </c>
      <c r="P136" s="291">
        <f t="shared" si="115"/>
        <v>57500</v>
      </c>
      <c r="Q136" s="289">
        <f t="shared" si="116"/>
        <v>0</v>
      </c>
      <c r="R136" s="251">
        <f t="shared" si="117"/>
        <v>1.118600151888258E-2</v>
      </c>
      <c r="S136" s="251">
        <f t="shared" si="118"/>
        <v>0</v>
      </c>
      <c r="T136" s="407"/>
    </row>
    <row r="137" spans="1:20" ht="15" customHeight="1">
      <c r="A137" s="256">
        <f t="shared" si="55"/>
        <v>127</v>
      </c>
      <c r="B137" s="257"/>
      <c r="C137" s="257" t="s">
        <v>84</v>
      </c>
      <c r="D137" s="341"/>
      <c r="E137" s="293">
        <v>600</v>
      </c>
      <c r="F137" s="294">
        <f>SUM(F132:F136)</f>
        <v>346250</v>
      </c>
      <c r="G137" s="295">
        <f t="shared" ref="G137:Q137" si="119">SUM(G132:G136)</f>
        <v>0</v>
      </c>
      <c r="H137" s="295">
        <f t="shared" si="119"/>
        <v>346250</v>
      </c>
      <c r="I137" s="296">
        <f t="shared" si="119"/>
        <v>0</v>
      </c>
      <c r="J137" s="294">
        <f t="shared" si="119"/>
        <v>50000</v>
      </c>
      <c r="K137" s="295">
        <f t="shared" si="119"/>
        <v>0</v>
      </c>
      <c r="L137" s="295">
        <f t="shared" si="119"/>
        <v>50000</v>
      </c>
      <c r="M137" s="296">
        <f t="shared" si="119"/>
        <v>0</v>
      </c>
      <c r="N137" s="294">
        <f t="shared" si="119"/>
        <v>396250</v>
      </c>
      <c r="O137" s="295">
        <f t="shared" si="119"/>
        <v>0</v>
      </c>
      <c r="P137" s="295">
        <f t="shared" si="119"/>
        <v>396250</v>
      </c>
      <c r="Q137" s="297">
        <f t="shared" si="119"/>
        <v>0</v>
      </c>
      <c r="R137" s="263">
        <f t="shared" si="117"/>
        <v>7.7086140901864733E-2</v>
      </c>
      <c r="S137" s="263">
        <f t="shared" si="118"/>
        <v>0</v>
      </c>
      <c r="T137" s="408"/>
    </row>
    <row r="138" spans="1:20" ht="15" customHeight="1">
      <c r="A138" s="234">
        <f t="shared" si="55"/>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5"/>
        <v>129</v>
      </c>
      <c r="B139" s="302"/>
      <c r="C139" s="288" t="s">
        <v>122</v>
      </c>
      <c r="D139" s="231"/>
      <c r="E139" s="245">
        <v>710</v>
      </c>
      <c r="F139" s="290">
        <f>'Qtr 1 Budget'!H139</f>
        <v>0</v>
      </c>
      <c r="G139" s="398"/>
      <c r="H139" s="291">
        <f t="shared" ref="H139:H142" si="120">SUM(F139:G139)</f>
        <v>0</v>
      </c>
      <c r="I139" s="393"/>
      <c r="J139" s="290">
        <f>'Qtr 1 Budget'!L139</f>
        <v>0</v>
      </c>
      <c r="K139" s="398"/>
      <c r="L139" s="291">
        <f t="shared" ref="L139:L142" si="121">SUM(J139:K139)</f>
        <v>0</v>
      </c>
      <c r="M139" s="399"/>
      <c r="N139" s="290">
        <f t="shared" ref="N139:N142" si="122">F139+J139</f>
        <v>0</v>
      </c>
      <c r="O139" s="291">
        <f t="shared" ref="O139:O142" si="123">K139+G139</f>
        <v>0</v>
      </c>
      <c r="P139" s="291">
        <f t="shared" ref="P139:P142" si="124">SUM(N139:O139)</f>
        <v>0</v>
      </c>
      <c r="Q139" s="289">
        <f t="shared" ref="Q139:Q142" si="125">M139+I139</f>
        <v>0</v>
      </c>
      <c r="R139" s="251">
        <f t="shared" ref="R139:R143" si="126">P139/$P$156</f>
        <v>0</v>
      </c>
      <c r="S139" s="251" t="str">
        <f t="shared" ref="S139:S143" si="127">IFERROR(Q139/P139,"")</f>
        <v/>
      </c>
      <c r="T139" s="407"/>
    </row>
    <row r="140" spans="1:20" ht="17.25" customHeight="1">
      <c r="A140" s="243">
        <f t="shared" si="55"/>
        <v>130</v>
      </c>
      <c r="B140" s="302"/>
      <c r="C140" s="288" t="s">
        <v>73</v>
      </c>
      <c r="D140" s="231"/>
      <c r="E140" s="245">
        <v>720</v>
      </c>
      <c r="F140" s="290">
        <f>'Qtr 1 Budget'!H140</f>
        <v>0</v>
      </c>
      <c r="G140" s="398"/>
      <c r="H140" s="291">
        <f t="shared" si="120"/>
        <v>0</v>
      </c>
      <c r="I140" s="393"/>
      <c r="J140" s="290">
        <f>'Qtr 1 Budget'!L140</f>
        <v>0</v>
      </c>
      <c r="K140" s="398"/>
      <c r="L140" s="291">
        <f t="shared" si="121"/>
        <v>0</v>
      </c>
      <c r="M140" s="399"/>
      <c r="N140" s="290">
        <f t="shared" si="122"/>
        <v>0</v>
      </c>
      <c r="O140" s="291">
        <f t="shared" si="123"/>
        <v>0</v>
      </c>
      <c r="P140" s="291">
        <f t="shared" si="124"/>
        <v>0</v>
      </c>
      <c r="Q140" s="289">
        <f t="shared" si="125"/>
        <v>0</v>
      </c>
      <c r="R140" s="251">
        <f t="shared" si="126"/>
        <v>0</v>
      </c>
      <c r="S140" s="251" t="str">
        <f t="shared" si="127"/>
        <v/>
      </c>
      <c r="T140" s="407"/>
    </row>
    <row r="141" spans="1:20" ht="17.25" customHeight="1">
      <c r="A141" s="243">
        <f t="shared" si="55"/>
        <v>131</v>
      </c>
      <c r="B141" s="302"/>
      <c r="C141" s="303" t="s">
        <v>19</v>
      </c>
      <c r="D141" s="231"/>
      <c r="E141" s="245" t="s">
        <v>123</v>
      </c>
      <c r="F141" s="290">
        <f>'Qtr 1 Budget'!H141</f>
        <v>0</v>
      </c>
      <c r="G141" s="398"/>
      <c r="H141" s="291">
        <f t="shared" si="120"/>
        <v>0</v>
      </c>
      <c r="I141" s="393"/>
      <c r="J141" s="290">
        <f>'Qtr 1 Budget'!L141</f>
        <v>0</v>
      </c>
      <c r="K141" s="398"/>
      <c r="L141" s="291">
        <f t="shared" si="121"/>
        <v>0</v>
      </c>
      <c r="M141" s="399"/>
      <c r="N141" s="290">
        <f t="shared" si="122"/>
        <v>0</v>
      </c>
      <c r="O141" s="291">
        <f t="shared" si="123"/>
        <v>0</v>
      </c>
      <c r="P141" s="291">
        <f t="shared" si="124"/>
        <v>0</v>
      </c>
      <c r="Q141" s="289">
        <f t="shared" si="125"/>
        <v>0</v>
      </c>
      <c r="R141" s="251">
        <f t="shared" si="126"/>
        <v>0</v>
      </c>
      <c r="S141" s="251" t="str">
        <f t="shared" si="127"/>
        <v/>
      </c>
      <c r="T141" s="407"/>
    </row>
    <row r="142" spans="1:20" ht="14.25" customHeight="1">
      <c r="A142" s="243">
        <f t="shared" ref="A142:A156" si="128">A141+1</f>
        <v>132</v>
      </c>
      <c r="B142" s="244"/>
      <c r="C142" s="303" t="s">
        <v>203</v>
      </c>
      <c r="D142" s="231"/>
      <c r="E142" s="245" t="s">
        <v>124</v>
      </c>
      <c r="F142" s="290">
        <f>'Qtr 1 Budget'!H142</f>
        <v>0</v>
      </c>
      <c r="G142" s="398"/>
      <c r="H142" s="291">
        <f t="shared" si="120"/>
        <v>0</v>
      </c>
      <c r="I142" s="393"/>
      <c r="J142" s="290">
        <f>'Qtr 1 Budget'!L142</f>
        <v>0</v>
      </c>
      <c r="K142" s="398"/>
      <c r="L142" s="291">
        <f t="shared" si="121"/>
        <v>0</v>
      </c>
      <c r="M142" s="399"/>
      <c r="N142" s="290">
        <f t="shared" si="122"/>
        <v>0</v>
      </c>
      <c r="O142" s="291">
        <f t="shared" si="123"/>
        <v>0</v>
      </c>
      <c r="P142" s="291">
        <f t="shared" si="124"/>
        <v>0</v>
      </c>
      <c r="Q142" s="289">
        <f t="shared" si="125"/>
        <v>0</v>
      </c>
      <c r="R142" s="251">
        <f t="shared" si="126"/>
        <v>0</v>
      </c>
      <c r="S142" s="251" t="str">
        <f t="shared" si="127"/>
        <v/>
      </c>
      <c r="T142" s="407"/>
    </row>
    <row r="143" spans="1:20" ht="15" customHeight="1">
      <c r="A143" s="256">
        <f t="shared" si="128"/>
        <v>133</v>
      </c>
      <c r="B143" s="257"/>
      <c r="C143" s="257" t="s">
        <v>86</v>
      </c>
      <c r="D143" s="341"/>
      <c r="E143" s="293">
        <v>700</v>
      </c>
      <c r="F143" s="294">
        <f>SUM(F139:F142)</f>
        <v>0</v>
      </c>
      <c r="G143" s="295">
        <f t="shared" ref="G143:Q143" si="129">SUM(G139:G142)</f>
        <v>0</v>
      </c>
      <c r="H143" s="295">
        <f t="shared" si="129"/>
        <v>0</v>
      </c>
      <c r="I143" s="296">
        <f t="shared" si="129"/>
        <v>0</v>
      </c>
      <c r="J143" s="294">
        <f t="shared" si="129"/>
        <v>0</v>
      </c>
      <c r="K143" s="295">
        <f t="shared" si="129"/>
        <v>0</v>
      </c>
      <c r="L143" s="295">
        <f t="shared" si="129"/>
        <v>0</v>
      </c>
      <c r="M143" s="296">
        <f t="shared" si="129"/>
        <v>0</v>
      </c>
      <c r="N143" s="294">
        <f t="shared" si="129"/>
        <v>0</v>
      </c>
      <c r="O143" s="295">
        <f t="shared" si="129"/>
        <v>0</v>
      </c>
      <c r="P143" s="295">
        <f t="shared" si="129"/>
        <v>0</v>
      </c>
      <c r="Q143" s="297">
        <f t="shared" si="129"/>
        <v>0</v>
      </c>
      <c r="R143" s="263">
        <f t="shared" si="126"/>
        <v>0</v>
      </c>
      <c r="S143" s="263" t="str">
        <f t="shared" si="127"/>
        <v/>
      </c>
      <c r="T143" s="408"/>
    </row>
    <row r="144" spans="1:20" ht="15" customHeight="1">
      <c r="A144" s="234">
        <f t="shared" si="128"/>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28"/>
        <v>135</v>
      </c>
      <c r="B145" s="302"/>
      <c r="C145" s="303" t="s">
        <v>144</v>
      </c>
      <c r="D145" s="231"/>
      <c r="E145" s="245">
        <v>810</v>
      </c>
      <c r="F145" s="290">
        <f>'Qtr 1 Budget'!H145</f>
        <v>71000</v>
      </c>
      <c r="G145" s="398"/>
      <c r="H145" s="291">
        <f t="shared" ref="H145:H149" si="130">SUM(F145:G145)</f>
        <v>71000</v>
      </c>
      <c r="I145" s="393"/>
      <c r="J145" s="290">
        <f>'Qtr 1 Budget'!L145</f>
        <v>0</v>
      </c>
      <c r="K145" s="398"/>
      <c r="L145" s="291">
        <f t="shared" ref="L145:L149" si="131">SUM(J145:K145)</f>
        <v>0</v>
      </c>
      <c r="M145" s="399"/>
      <c r="N145" s="290">
        <f t="shared" ref="N145:N149" si="132">F145+J145</f>
        <v>71000</v>
      </c>
      <c r="O145" s="291">
        <f t="shared" ref="O145:O149" si="133">K145+G145</f>
        <v>0</v>
      </c>
      <c r="P145" s="291">
        <f t="shared" ref="P145:P149" si="134">SUM(N145:O145)</f>
        <v>71000</v>
      </c>
      <c r="Q145" s="289">
        <f t="shared" ref="Q145:Q149" si="135">M145+I145</f>
        <v>0</v>
      </c>
      <c r="R145" s="251">
        <f t="shared" ref="R145:R150" si="136">P145/$P$156</f>
        <v>1.3812280136359359E-2</v>
      </c>
      <c r="S145" s="251">
        <f t="shared" ref="S145:S150" si="137">IFERROR(Q145/P145,"")</f>
        <v>0</v>
      </c>
      <c r="T145" s="407"/>
    </row>
    <row r="146" spans="1:20" ht="15" customHeight="1">
      <c r="A146" s="243">
        <f t="shared" si="128"/>
        <v>136</v>
      </c>
      <c r="B146" s="302"/>
      <c r="C146" s="303" t="s">
        <v>145</v>
      </c>
      <c r="D146" s="231"/>
      <c r="E146" s="245">
        <v>810</v>
      </c>
      <c r="F146" s="290">
        <f>'Qtr 1 Budget'!H146</f>
        <v>0</v>
      </c>
      <c r="G146" s="398"/>
      <c r="H146" s="291">
        <f t="shared" si="130"/>
        <v>0</v>
      </c>
      <c r="I146" s="393"/>
      <c r="J146" s="290">
        <f>'Qtr 1 Budget'!L146</f>
        <v>0</v>
      </c>
      <c r="K146" s="398"/>
      <c r="L146" s="291">
        <f t="shared" si="131"/>
        <v>0</v>
      </c>
      <c r="M146" s="399"/>
      <c r="N146" s="290">
        <f t="shared" si="132"/>
        <v>0</v>
      </c>
      <c r="O146" s="291">
        <f t="shared" si="133"/>
        <v>0</v>
      </c>
      <c r="P146" s="291">
        <f t="shared" si="134"/>
        <v>0</v>
      </c>
      <c r="Q146" s="289">
        <f t="shared" si="135"/>
        <v>0</v>
      </c>
      <c r="R146" s="251">
        <f t="shared" si="136"/>
        <v>0</v>
      </c>
      <c r="S146" s="251" t="str">
        <f t="shared" si="137"/>
        <v/>
      </c>
      <c r="T146" s="407"/>
    </row>
    <row r="147" spans="1:20" ht="17.25" customHeight="1">
      <c r="A147" s="243">
        <f t="shared" si="128"/>
        <v>137</v>
      </c>
      <c r="B147" s="302"/>
      <c r="C147" s="288" t="s">
        <v>25</v>
      </c>
      <c r="D147" s="231"/>
      <c r="E147" s="245">
        <v>830</v>
      </c>
      <c r="F147" s="290">
        <f>'Qtr 1 Budget'!H147</f>
        <v>0</v>
      </c>
      <c r="G147" s="398"/>
      <c r="H147" s="291">
        <f t="shared" si="130"/>
        <v>0</v>
      </c>
      <c r="I147" s="393"/>
      <c r="J147" s="290">
        <f>'Qtr 1 Budget'!L147</f>
        <v>0</v>
      </c>
      <c r="K147" s="398"/>
      <c r="L147" s="291">
        <f t="shared" si="131"/>
        <v>0</v>
      </c>
      <c r="M147" s="399"/>
      <c r="N147" s="290">
        <f t="shared" si="132"/>
        <v>0</v>
      </c>
      <c r="O147" s="291">
        <f t="shared" si="133"/>
        <v>0</v>
      </c>
      <c r="P147" s="291">
        <f t="shared" si="134"/>
        <v>0</v>
      </c>
      <c r="Q147" s="289">
        <f t="shared" si="135"/>
        <v>0</v>
      </c>
      <c r="R147" s="251">
        <f t="shared" si="136"/>
        <v>0</v>
      </c>
      <c r="S147" s="251" t="str">
        <f t="shared" si="137"/>
        <v/>
      </c>
      <c r="T147" s="407"/>
    </row>
    <row r="148" spans="1:20" ht="17.25" customHeight="1">
      <c r="A148" s="243">
        <f t="shared" si="128"/>
        <v>138</v>
      </c>
      <c r="B148" s="302"/>
      <c r="C148" s="288" t="s">
        <v>127</v>
      </c>
      <c r="D148" s="231"/>
      <c r="E148" s="245">
        <v>831</v>
      </c>
      <c r="F148" s="290">
        <f>'Qtr 1 Budget'!H148</f>
        <v>0</v>
      </c>
      <c r="G148" s="398"/>
      <c r="H148" s="291">
        <f t="shared" si="130"/>
        <v>0</v>
      </c>
      <c r="I148" s="393"/>
      <c r="J148" s="290">
        <f>'Qtr 1 Budget'!L148</f>
        <v>0</v>
      </c>
      <c r="K148" s="398"/>
      <c r="L148" s="291">
        <f t="shared" si="131"/>
        <v>0</v>
      </c>
      <c r="M148" s="399"/>
      <c r="N148" s="290">
        <f t="shared" si="132"/>
        <v>0</v>
      </c>
      <c r="O148" s="291">
        <f t="shared" si="133"/>
        <v>0</v>
      </c>
      <c r="P148" s="291">
        <f t="shared" si="134"/>
        <v>0</v>
      </c>
      <c r="Q148" s="289">
        <f t="shared" si="135"/>
        <v>0</v>
      </c>
      <c r="R148" s="251">
        <f t="shared" si="136"/>
        <v>0</v>
      </c>
      <c r="S148" s="251" t="str">
        <f t="shared" si="137"/>
        <v/>
      </c>
      <c r="T148" s="407"/>
    </row>
    <row r="149" spans="1:20" ht="15" customHeight="1">
      <c r="A149" s="243">
        <f t="shared" si="128"/>
        <v>139</v>
      </c>
      <c r="B149" s="302"/>
      <c r="C149" s="288" t="s">
        <v>204</v>
      </c>
      <c r="D149" s="231"/>
      <c r="E149" s="245" t="s">
        <v>125</v>
      </c>
      <c r="F149" s="290">
        <f>'Qtr 1 Budget'!H149</f>
        <v>0</v>
      </c>
      <c r="G149" s="398"/>
      <c r="H149" s="291">
        <f t="shared" si="130"/>
        <v>0</v>
      </c>
      <c r="I149" s="393"/>
      <c r="J149" s="290">
        <f>'Qtr 1 Budget'!L149</f>
        <v>0</v>
      </c>
      <c r="K149" s="398"/>
      <c r="L149" s="291">
        <f t="shared" si="131"/>
        <v>0</v>
      </c>
      <c r="M149" s="399"/>
      <c r="N149" s="290">
        <f t="shared" si="132"/>
        <v>0</v>
      </c>
      <c r="O149" s="291">
        <f t="shared" si="133"/>
        <v>0</v>
      </c>
      <c r="P149" s="291">
        <f t="shared" si="134"/>
        <v>0</v>
      </c>
      <c r="Q149" s="289">
        <f t="shared" si="135"/>
        <v>0</v>
      </c>
      <c r="R149" s="251">
        <f t="shared" si="136"/>
        <v>0</v>
      </c>
      <c r="S149" s="251" t="str">
        <f t="shared" si="137"/>
        <v/>
      </c>
      <c r="T149" s="407"/>
    </row>
    <row r="150" spans="1:20" ht="15" customHeight="1">
      <c r="A150" s="243">
        <f t="shared" si="128"/>
        <v>140</v>
      </c>
      <c r="B150" s="257"/>
      <c r="C150" s="257" t="s">
        <v>88</v>
      </c>
      <c r="D150" s="341"/>
      <c r="E150" s="293">
        <v>800</v>
      </c>
      <c r="F150" s="294">
        <f>SUM(F145:F149)</f>
        <v>71000</v>
      </c>
      <c r="G150" s="295">
        <f t="shared" ref="G150:Q150" si="138">SUM(G145:G149)</f>
        <v>0</v>
      </c>
      <c r="H150" s="295">
        <f t="shared" si="138"/>
        <v>71000</v>
      </c>
      <c r="I150" s="296">
        <f t="shared" si="138"/>
        <v>0</v>
      </c>
      <c r="J150" s="294">
        <f t="shared" si="138"/>
        <v>0</v>
      </c>
      <c r="K150" s="295">
        <f t="shared" si="138"/>
        <v>0</v>
      </c>
      <c r="L150" s="295">
        <f t="shared" si="138"/>
        <v>0</v>
      </c>
      <c r="M150" s="296">
        <f t="shared" si="138"/>
        <v>0</v>
      </c>
      <c r="N150" s="294">
        <f t="shared" si="138"/>
        <v>71000</v>
      </c>
      <c r="O150" s="295">
        <f t="shared" si="138"/>
        <v>0</v>
      </c>
      <c r="P150" s="295">
        <f t="shared" si="138"/>
        <v>71000</v>
      </c>
      <c r="Q150" s="297">
        <f t="shared" si="138"/>
        <v>0</v>
      </c>
      <c r="R150" s="263">
        <f t="shared" si="136"/>
        <v>1.3812280136359359E-2</v>
      </c>
      <c r="S150" s="263">
        <f t="shared" si="137"/>
        <v>0</v>
      </c>
      <c r="T150" s="408"/>
    </row>
    <row r="151" spans="1:20" ht="15" customHeight="1">
      <c r="A151" s="342">
        <f t="shared" si="128"/>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28"/>
        <v>142</v>
      </c>
      <c r="B152" s="302"/>
      <c r="C152" s="244" t="s">
        <v>20</v>
      </c>
      <c r="D152" s="231"/>
      <c r="E152" s="245">
        <v>933</v>
      </c>
      <c r="F152" s="290">
        <f>'Qtr 1 Budget'!H152</f>
        <v>0</v>
      </c>
      <c r="G152" s="398"/>
      <c r="H152" s="291">
        <f t="shared" ref="H152:H154" si="139">SUM(F152:G152)</f>
        <v>0</v>
      </c>
      <c r="I152" s="393"/>
      <c r="J152" s="290">
        <f>'Qtr 1 Budget'!L152</f>
        <v>0</v>
      </c>
      <c r="K152" s="398"/>
      <c r="L152" s="291">
        <f t="shared" ref="L152:L154" si="140">SUM(J152:K152)</f>
        <v>0</v>
      </c>
      <c r="M152" s="399"/>
      <c r="N152" s="290">
        <f t="shared" ref="N152:N154" si="141">F152+J152</f>
        <v>0</v>
      </c>
      <c r="O152" s="291">
        <f t="shared" ref="O152:O154" si="142">K152+G152</f>
        <v>0</v>
      </c>
      <c r="P152" s="291">
        <f t="shared" ref="P152:P154" si="143">SUM(N152:O152)</f>
        <v>0</v>
      </c>
      <c r="Q152" s="289">
        <f t="shared" ref="Q152:Q154" si="144">M152+I152</f>
        <v>0</v>
      </c>
      <c r="R152" s="251">
        <f t="shared" ref="R152:R156" si="145">P152/$P$156</f>
        <v>0</v>
      </c>
      <c r="S152" s="251" t="str">
        <f t="shared" ref="S152:S156" si="146">IFERROR(Q152/P152,"")</f>
        <v/>
      </c>
      <c r="T152" s="407"/>
    </row>
    <row r="153" spans="1:20" ht="17.25" customHeight="1">
      <c r="A153" s="243">
        <f t="shared" si="128"/>
        <v>143</v>
      </c>
      <c r="B153" s="302"/>
      <c r="C153" s="244" t="s">
        <v>205</v>
      </c>
      <c r="D153" s="231"/>
      <c r="E153" s="245" t="s">
        <v>126</v>
      </c>
      <c r="F153" s="290">
        <f>'Qtr 1 Budget'!H153</f>
        <v>0</v>
      </c>
      <c r="G153" s="398"/>
      <c r="H153" s="291">
        <f t="shared" si="139"/>
        <v>0</v>
      </c>
      <c r="I153" s="393"/>
      <c r="J153" s="290">
        <f>'Qtr 1 Budget'!L153</f>
        <v>0</v>
      </c>
      <c r="K153" s="398"/>
      <c r="L153" s="291">
        <f t="shared" si="140"/>
        <v>0</v>
      </c>
      <c r="M153" s="399"/>
      <c r="N153" s="290">
        <f t="shared" si="141"/>
        <v>0</v>
      </c>
      <c r="O153" s="291">
        <f t="shared" si="142"/>
        <v>0</v>
      </c>
      <c r="P153" s="291">
        <f t="shared" si="143"/>
        <v>0</v>
      </c>
      <c r="Q153" s="289">
        <f t="shared" si="144"/>
        <v>0</v>
      </c>
      <c r="R153" s="251">
        <f t="shared" si="145"/>
        <v>0</v>
      </c>
      <c r="S153" s="251" t="str">
        <f t="shared" si="146"/>
        <v/>
      </c>
      <c r="T153" s="407"/>
    </row>
    <row r="154" spans="1:20" ht="15" customHeight="1">
      <c r="A154" s="243">
        <f t="shared" si="128"/>
        <v>144</v>
      </c>
      <c r="B154" s="396"/>
      <c r="C154" s="403"/>
      <c r="D154" s="394"/>
      <c r="E154" s="395"/>
      <c r="F154" s="290">
        <f>'Qtr 1 Budget'!H154</f>
        <v>0</v>
      </c>
      <c r="G154" s="398"/>
      <c r="H154" s="291">
        <f t="shared" si="139"/>
        <v>0</v>
      </c>
      <c r="I154" s="393"/>
      <c r="J154" s="290">
        <f>'Qtr 1 Budget'!L154</f>
        <v>0</v>
      </c>
      <c r="K154" s="398"/>
      <c r="L154" s="291">
        <f t="shared" si="140"/>
        <v>0</v>
      </c>
      <c r="M154" s="399"/>
      <c r="N154" s="290">
        <f t="shared" si="141"/>
        <v>0</v>
      </c>
      <c r="O154" s="291">
        <f t="shared" si="142"/>
        <v>0</v>
      </c>
      <c r="P154" s="291">
        <f t="shared" si="143"/>
        <v>0</v>
      </c>
      <c r="Q154" s="289">
        <f t="shared" si="144"/>
        <v>0</v>
      </c>
      <c r="R154" s="251">
        <f t="shared" si="145"/>
        <v>0</v>
      </c>
      <c r="S154" s="251" t="str">
        <f t="shared" si="146"/>
        <v/>
      </c>
      <c r="T154" s="407"/>
    </row>
    <row r="155" spans="1:20" ht="21" customHeight="1">
      <c r="A155" s="343">
        <f t="shared" si="128"/>
        <v>145</v>
      </c>
      <c r="B155" s="257"/>
      <c r="C155" s="257" t="s">
        <v>89</v>
      </c>
      <c r="D155" s="258"/>
      <c r="E155" s="293">
        <v>900</v>
      </c>
      <c r="F155" s="294">
        <f>SUM(F152:F154)</f>
        <v>0</v>
      </c>
      <c r="G155" s="295">
        <f t="shared" ref="G155:Q155" si="147">SUM(G152:G154)</f>
        <v>0</v>
      </c>
      <c r="H155" s="295">
        <f t="shared" si="147"/>
        <v>0</v>
      </c>
      <c r="I155" s="296">
        <f t="shared" si="147"/>
        <v>0</v>
      </c>
      <c r="J155" s="294">
        <f t="shared" si="147"/>
        <v>0</v>
      </c>
      <c r="K155" s="295">
        <f t="shared" si="147"/>
        <v>0</v>
      </c>
      <c r="L155" s="295">
        <f t="shared" si="147"/>
        <v>0</v>
      </c>
      <c r="M155" s="296">
        <f t="shared" si="147"/>
        <v>0</v>
      </c>
      <c r="N155" s="294">
        <f t="shared" si="147"/>
        <v>0</v>
      </c>
      <c r="O155" s="295">
        <f t="shared" si="147"/>
        <v>0</v>
      </c>
      <c r="P155" s="295">
        <f t="shared" si="147"/>
        <v>0</v>
      </c>
      <c r="Q155" s="297">
        <f t="shared" si="147"/>
        <v>0</v>
      </c>
      <c r="R155" s="344">
        <f t="shared" si="145"/>
        <v>0</v>
      </c>
      <c r="S155" s="344" t="str">
        <f t="shared" si="146"/>
        <v/>
      </c>
      <c r="T155" s="421"/>
    </row>
    <row r="156" spans="1:20" ht="18.75" customHeight="1" thickBot="1">
      <c r="A156" s="220">
        <f t="shared" si="128"/>
        <v>146</v>
      </c>
      <c r="B156" s="189"/>
      <c r="C156" s="189"/>
      <c r="D156" s="200" t="s">
        <v>21</v>
      </c>
      <c r="E156" s="201" t="s">
        <v>22</v>
      </c>
      <c r="F156" s="222">
        <f>F97+F106+F112+F119+F130+F137+F143+F150+F155</f>
        <v>3426552.3159670024</v>
      </c>
      <c r="G156" s="225">
        <f t="shared" ref="G156:Q156" si="148">G97+G106+G112+G119+G130+G137+G143+G150+G155</f>
        <v>0</v>
      </c>
      <c r="H156" s="225">
        <f t="shared" si="148"/>
        <v>3426552.3159670024</v>
      </c>
      <c r="I156" s="193">
        <f t="shared" si="148"/>
        <v>0</v>
      </c>
      <c r="J156" s="222">
        <f t="shared" si="148"/>
        <v>1713801</v>
      </c>
      <c r="K156" s="225">
        <f t="shared" si="148"/>
        <v>0</v>
      </c>
      <c r="L156" s="225">
        <f t="shared" si="148"/>
        <v>1713801</v>
      </c>
      <c r="M156" s="193">
        <f t="shared" si="148"/>
        <v>0</v>
      </c>
      <c r="N156" s="222">
        <f t="shared" si="148"/>
        <v>5140353.3159670029</v>
      </c>
      <c r="O156" s="225">
        <f t="shared" si="148"/>
        <v>0</v>
      </c>
      <c r="P156" s="225">
        <f t="shared" si="148"/>
        <v>5140353.3159670029</v>
      </c>
      <c r="Q156" s="192">
        <f t="shared" si="148"/>
        <v>0</v>
      </c>
      <c r="R156" s="194">
        <f t="shared" si="145"/>
        <v>1</v>
      </c>
      <c r="S156" s="194">
        <f t="shared" si="146"/>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324852.18059406849</v>
      </c>
      <c r="G158" s="203">
        <f t="shared" ref="G158:Q158" si="149">G85-G156</f>
        <v>0</v>
      </c>
      <c r="H158" s="203">
        <f t="shared" si="149"/>
        <v>324852.18059406849</v>
      </c>
      <c r="I158" s="203">
        <f t="shared" si="149"/>
        <v>0</v>
      </c>
      <c r="J158" s="203">
        <f t="shared" si="149"/>
        <v>-0.41663921298459172</v>
      </c>
      <c r="K158" s="203">
        <f t="shared" si="149"/>
        <v>0</v>
      </c>
      <c r="L158" s="203">
        <f t="shared" si="149"/>
        <v>-0.41663921298459172</v>
      </c>
      <c r="M158" s="203">
        <f t="shared" si="149"/>
        <v>0</v>
      </c>
      <c r="N158" s="203">
        <f t="shared" si="149"/>
        <v>324851.7639548555</v>
      </c>
      <c r="O158" s="203">
        <f t="shared" si="149"/>
        <v>0</v>
      </c>
      <c r="P158" s="203">
        <f t="shared" si="149"/>
        <v>324851.7639548555</v>
      </c>
      <c r="Q158" s="204">
        <f t="shared" si="149"/>
        <v>0</v>
      </c>
      <c r="R158" s="69"/>
      <c r="S158" s="69"/>
      <c r="T158" s="210" t="s">
        <v>158</v>
      </c>
    </row>
    <row r="159" spans="1:20" ht="18.75" customHeight="1" thickBot="1">
      <c r="A159" s="132"/>
      <c r="B159" s="69"/>
      <c r="C159" s="72"/>
      <c r="D159" s="214"/>
      <c r="E159" s="215" t="s">
        <v>106</v>
      </c>
      <c r="F159" s="205">
        <f>'Qtr 1 Budget'!H159</f>
        <v>2127814.6799999997</v>
      </c>
      <c r="G159" s="38"/>
      <c r="H159" s="38">
        <f>F159</f>
        <v>2127814.6799999997</v>
      </c>
      <c r="I159" s="38"/>
      <c r="J159" s="38">
        <f>'Qtr 1 Budget'!L159</f>
        <v>0</v>
      </c>
      <c r="K159" s="38"/>
      <c r="L159" s="38">
        <f>J159</f>
        <v>0</v>
      </c>
      <c r="M159" s="38"/>
      <c r="N159" s="38">
        <f>F159+J159</f>
        <v>2127814.6799999997</v>
      </c>
      <c r="O159" s="38"/>
      <c r="P159" s="38">
        <f>N159</f>
        <v>2127814.6799999997</v>
      </c>
      <c r="Q159" s="206"/>
      <c r="R159" s="69"/>
      <c r="S159" s="69"/>
      <c r="T159" s="211">
        <f>H160/H85</f>
        <v>0.65379962700434968</v>
      </c>
    </row>
    <row r="160" spans="1:20" ht="15" customHeight="1" thickTop="1" thickBot="1">
      <c r="A160" s="132"/>
      <c r="B160" s="69"/>
      <c r="C160" s="72"/>
      <c r="D160" s="216"/>
      <c r="E160" s="217" t="s">
        <v>107</v>
      </c>
      <c r="F160" s="207">
        <f>SUM(F158:F159)</f>
        <v>2452666.8605940682</v>
      </c>
      <c r="G160" s="208">
        <f t="shared" ref="G160:Q160" si="150">SUM(G158:G159)</f>
        <v>0</v>
      </c>
      <c r="H160" s="208">
        <f t="shared" si="150"/>
        <v>2452666.8605940682</v>
      </c>
      <c r="I160" s="208">
        <f t="shared" si="150"/>
        <v>0</v>
      </c>
      <c r="J160" s="208">
        <f t="shared" si="150"/>
        <v>-0.41663921298459172</v>
      </c>
      <c r="K160" s="208">
        <f t="shared" si="150"/>
        <v>0</v>
      </c>
      <c r="L160" s="208">
        <f t="shared" si="150"/>
        <v>-0.41663921298459172</v>
      </c>
      <c r="M160" s="208">
        <f t="shared" si="150"/>
        <v>0</v>
      </c>
      <c r="N160" s="208">
        <f t="shared" si="150"/>
        <v>2452666.4439548552</v>
      </c>
      <c r="O160" s="208">
        <f t="shared" si="150"/>
        <v>0</v>
      </c>
      <c r="P160" s="208">
        <f t="shared" si="150"/>
        <v>2452666.4439548552</v>
      </c>
      <c r="Q160" s="209">
        <f t="shared" si="150"/>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T8:T10"/>
    <mergeCell ref="P8:P10"/>
    <mergeCell ref="Q8:Q10"/>
    <mergeCell ref="B86:D86"/>
    <mergeCell ref="L8:L10"/>
    <mergeCell ref="M8:M10"/>
    <mergeCell ref="N8:N10"/>
    <mergeCell ref="O8:O10"/>
    <mergeCell ref="F8:F10"/>
    <mergeCell ref="G8:G10"/>
    <mergeCell ref="H8:H10"/>
    <mergeCell ref="I8:I10"/>
    <mergeCell ref="J8:J10"/>
    <mergeCell ref="K8:K10"/>
    <mergeCell ref="B11:D11"/>
    <mergeCell ref="J1:M1"/>
    <mergeCell ref="R1:S1"/>
    <mergeCell ref="A4:C5"/>
    <mergeCell ref="D4:D5"/>
    <mergeCell ref="B6:D10"/>
    <mergeCell ref="E6:E7"/>
    <mergeCell ref="F6:I7"/>
    <mergeCell ref="J6:M7"/>
    <mergeCell ref="N6:Q7"/>
    <mergeCell ref="E8:E10"/>
    <mergeCell ref="R8:R10"/>
    <mergeCell ref="S8:S10"/>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codeName="Sheet9"/>
  <dimension ref="A1:T161"/>
  <sheetViews>
    <sheetView defaultGridColor="0" colorId="22" zoomScale="90" zoomScaleNormal="90" zoomScaleSheetLayoutView="80" workbookViewId="0">
      <pane xSplit="4" ySplit="10" topLeftCell="E11" activePane="bottomRight" state="frozen"/>
      <selection activeCell="O8" sqref="O8:O10"/>
      <selection pane="topRight" activeCell="O8" sqref="O8:O10"/>
      <selection pane="bottomLeft" activeCell="O8" sqref="O8:O10"/>
      <selection pane="bottomRight" activeCell="I3" sqref="I3"/>
    </sheetView>
  </sheetViews>
  <sheetFormatPr defaultColWidth="11.4609375" defaultRowHeight="15.5"/>
  <cols>
    <col min="1" max="1" width="3.23046875" style="133" customWidth="1"/>
    <col min="2" max="2" width="2" style="133" customWidth="1"/>
    <col min="3" max="3" width="2.53515625" style="133" customWidth="1"/>
    <col min="4" max="4" width="43.23046875" style="133" customWidth="1"/>
    <col min="5" max="5" width="11.4609375" style="133" customWidth="1"/>
    <col min="6" max="8" width="12.23046875" style="133" customWidth="1"/>
    <col min="9" max="9" width="12.84375" style="133" customWidth="1"/>
    <col min="10" max="12" width="12.23046875" style="133" customWidth="1"/>
    <col min="13" max="13" width="12.84375" style="133" customWidth="1"/>
    <col min="14" max="16" width="12.23046875" style="133" customWidth="1"/>
    <col min="17" max="17" width="12.84375" style="133" customWidth="1"/>
    <col min="18" max="18" width="8.765625" style="133" customWidth="1"/>
    <col min="19" max="19" width="9.4609375" style="133" customWidth="1"/>
    <col min="20" max="20" width="54.765625" style="133" customWidth="1"/>
    <col min="21" max="16384" width="11.4609375" style="133"/>
  </cols>
  <sheetData>
    <row r="1" spans="1:20" ht="36.75" customHeight="1">
      <c r="A1" s="346"/>
      <c r="B1" s="346"/>
      <c r="C1" s="346"/>
      <c r="D1" s="346"/>
      <c r="E1" s="346"/>
      <c r="F1" s="346"/>
      <c r="G1" s="346"/>
      <c r="H1" s="346"/>
      <c r="I1" s="346"/>
      <c r="J1" s="862" t="s">
        <v>233</v>
      </c>
      <c r="K1" s="862"/>
      <c r="L1" s="862"/>
      <c r="M1" s="862"/>
      <c r="N1" s="346"/>
      <c r="O1" s="346"/>
      <c r="P1" s="346"/>
      <c r="Q1" s="346"/>
      <c r="R1" s="863" t="s">
        <v>129</v>
      </c>
      <c r="S1" s="863"/>
    </row>
    <row r="2" spans="1:20" ht="18" customHeight="1" thickBot="1">
      <c r="A2" s="134"/>
      <c r="B2" s="135"/>
      <c r="C2" s="135"/>
      <c r="D2" s="135"/>
      <c r="E2" s="135"/>
      <c r="F2" s="135"/>
      <c r="G2" s="135"/>
      <c r="H2" s="135"/>
      <c r="I2" s="83"/>
      <c r="J2" s="136" t="s">
        <v>162</v>
      </c>
      <c r="K2" s="137">
        <v>3</v>
      </c>
      <c r="L2" s="136" t="s">
        <v>163</v>
      </c>
      <c r="M2" s="138">
        <v>45382</v>
      </c>
      <c r="N2" s="83"/>
      <c r="O2" s="135"/>
      <c r="P2" s="135"/>
      <c r="Q2" s="135"/>
      <c r="R2" s="347" t="s">
        <v>168</v>
      </c>
      <c r="S2" s="348">
        <f>'Annual Budget '!N4</f>
        <v>250</v>
      </c>
    </row>
    <row r="3" spans="1:20" ht="18" customHeight="1" thickBot="1">
      <c r="A3" s="134"/>
      <c r="B3" s="135"/>
      <c r="C3" s="135"/>
      <c r="D3" s="135"/>
      <c r="E3" s="135"/>
      <c r="F3" s="135"/>
      <c r="G3" s="135"/>
      <c r="H3" s="135"/>
      <c r="I3" s="83"/>
      <c r="J3" s="135"/>
      <c r="K3" s="350"/>
      <c r="L3" s="135"/>
      <c r="M3" s="350"/>
      <c r="N3" s="83"/>
      <c r="O3" s="135"/>
      <c r="P3" s="135"/>
      <c r="Q3" s="135"/>
      <c r="R3" s="81" t="s">
        <v>165</v>
      </c>
      <c r="S3" s="349">
        <f>'Qtr 1 Budget'!S3</f>
        <v>0</v>
      </c>
    </row>
    <row r="4" spans="1:20" ht="18" customHeight="1" thickTop="1">
      <c r="A4" s="877" t="s">
        <v>0</v>
      </c>
      <c r="B4" s="846"/>
      <c r="C4" s="846"/>
      <c r="D4" s="878" t="str">
        <f>'Annual Budget '!D5</f>
        <v>Redesign Lanier</v>
      </c>
      <c r="E4" s="83"/>
      <c r="F4" s="83"/>
      <c r="G4" s="83"/>
      <c r="H4" s="83"/>
      <c r="I4" s="83"/>
      <c r="J4" s="181"/>
      <c r="K4" s="114"/>
      <c r="L4" s="114"/>
      <c r="M4" s="114"/>
      <c r="N4" s="49"/>
      <c r="O4" s="49"/>
      <c r="P4" s="49"/>
      <c r="Q4" s="83"/>
      <c r="R4" s="81" t="s">
        <v>166</v>
      </c>
      <c r="S4" s="349">
        <f>'Qtr 2 Budget'!S4</f>
        <v>0</v>
      </c>
    </row>
    <row r="5" spans="1:20" ht="18" customHeight="1" thickBot="1">
      <c r="A5" s="846"/>
      <c r="B5" s="846"/>
      <c r="C5" s="846"/>
      <c r="D5" s="879"/>
      <c r="E5" s="83"/>
      <c r="F5" s="83"/>
      <c r="G5" s="83"/>
      <c r="H5" s="83"/>
      <c r="I5" s="83"/>
      <c r="J5" s="181"/>
      <c r="K5" s="114"/>
      <c r="L5" s="114"/>
      <c r="M5" s="114"/>
      <c r="N5" s="49"/>
      <c r="O5" s="49"/>
      <c r="P5" s="49"/>
      <c r="Q5" s="83"/>
      <c r="R5" s="347" t="s">
        <v>167</v>
      </c>
      <c r="S5" s="404"/>
    </row>
    <row r="6" spans="1:20" ht="36.75" customHeight="1" thickTop="1" thickBot="1">
      <c r="A6" s="182"/>
      <c r="B6" s="891" t="s">
        <v>1</v>
      </c>
      <c r="C6" s="891"/>
      <c r="D6" s="892"/>
      <c r="E6" s="896" t="s">
        <v>2</v>
      </c>
      <c r="F6" s="868" t="s">
        <v>26</v>
      </c>
      <c r="G6" s="868"/>
      <c r="H6" s="868"/>
      <c r="I6" s="868"/>
      <c r="J6" s="900" t="s">
        <v>194</v>
      </c>
      <c r="K6" s="901"/>
      <c r="L6" s="901"/>
      <c r="M6" s="901"/>
      <c r="N6" s="903" t="s">
        <v>159</v>
      </c>
      <c r="O6" s="903"/>
      <c r="P6" s="903"/>
      <c r="Q6" s="904"/>
      <c r="R6" s="83"/>
    </row>
    <row r="7" spans="1:20" ht="16.5" thickTop="1" thickBot="1">
      <c r="A7" s="183"/>
      <c r="B7" s="826"/>
      <c r="C7" s="826"/>
      <c r="D7" s="893"/>
      <c r="E7" s="896"/>
      <c r="F7" s="869"/>
      <c r="G7" s="869"/>
      <c r="H7" s="869"/>
      <c r="I7" s="869"/>
      <c r="J7" s="902"/>
      <c r="K7" s="902"/>
      <c r="L7" s="902"/>
      <c r="M7" s="902"/>
      <c r="N7" s="905"/>
      <c r="O7" s="905"/>
      <c r="P7" s="905"/>
      <c r="Q7" s="906"/>
      <c r="R7" s="83"/>
      <c r="S7" s="83"/>
      <c r="T7" s="83"/>
    </row>
    <row r="8" spans="1:20" ht="16.5" customHeight="1" thickTop="1" thickBot="1">
      <c r="A8" s="183"/>
      <c r="B8" s="826"/>
      <c r="C8" s="826"/>
      <c r="D8" s="893"/>
      <c r="E8" s="897" t="s">
        <v>93</v>
      </c>
      <c r="F8" s="919" t="s">
        <v>170</v>
      </c>
      <c r="G8" s="887" t="s">
        <v>212</v>
      </c>
      <c r="H8" s="917" t="s">
        <v>171</v>
      </c>
      <c r="I8" s="866" t="s">
        <v>193</v>
      </c>
      <c r="J8" s="919" t="s">
        <v>170</v>
      </c>
      <c r="K8" s="887" t="s">
        <v>212</v>
      </c>
      <c r="L8" s="917" t="s">
        <v>171</v>
      </c>
      <c r="M8" s="866" t="s">
        <v>193</v>
      </c>
      <c r="N8" s="919" t="s">
        <v>170</v>
      </c>
      <c r="O8" s="887" t="s">
        <v>212</v>
      </c>
      <c r="P8" s="915" t="s">
        <v>171</v>
      </c>
      <c r="Q8" s="870" t="s">
        <v>193</v>
      </c>
      <c r="R8" s="872" t="s">
        <v>70</v>
      </c>
      <c r="S8" s="875" t="s">
        <v>195</v>
      </c>
      <c r="T8" s="880" t="s">
        <v>103</v>
      </c>
    </row>
    <row r="9" spans="1:20" ht="15" customHeight="1" thickTop="1" thickBot="1">
      <c r="A9" s="183"/>
      <c r="B9" s="826"/>
      <c r="C9" s="826"/>
      <c r="D9" s="893"/>
      <c r="E9" s="898"/>
      <c r="F9" s="920" t="s">
        <v>161</v>
      </c>
      <c r="G9" s="888" t="s">
        <v>160</v>
      </c>
      <c r="H9" s="918" t="s">
        <v>161</v>
      </c>
      <c r="I9" s="867"/>
      <c r="J9" s="920" t="s">
        <v>161</v>
      </c>
      <c r="K9" s="888" t="s">
        <v>160</v>
      </c>
      <c r="L9" s="918" t="s">
        <v>161</v>
      </c>
      <c r="M9" s="867"/>
      <c r="N9" s="920" t="s">
        <v>161</v>
      </c>
      <c r="O9" s="888" t="s">
        <v>160</v>
      </c>
      <c r="P9" s="916" t="s">
        <v>161</v>
      </c>
      <c r="Q9" s="871"/>
      <c r="R9" s="873"/>
      <c r="S9" s="860"/>
      <c r="T9" s="881"/>
    </row>
    <row r="10" spans="1:20" ht="30" customHeight="1" thickTop="1" thickBot="1">
      <c r="A10" s="184"/>
      <c r="B10" s="894"/>
      <c r="C10" s="894"/>
      <c r="D10" s="895"/>
      <c r="E10" s="899"/>
      <c r="F10" s="920"/>
      <c r="G10" s="888"/>
      <c r="H10" s="918"/>
      <c r="I10" s="867"/>
      <c r="J10" s="920"/>
      <c r="K10" s="888"/>
      <c r="L10" s="918"/>
      <c r="M10" s="867"/>
      <c r="N10" s="920"/>
      <c r="O10" s="888"/>
      <c r="P10" s="916"/>
      <c r="Q10" s="871"/>
      <c r="R10" s="874"/>
      <c r="S10" s="876"/>
      <c r="T10" s="882"/>
    </row>
    <row r="11" spans="1:20" ht="25.5" customHeight="1" thickTop="1">
      <c r="A11" s="227">
        <v>1</v>
      </c>
      <c r="B11" s="883" t="s">
        <v>91</v>
      </c>
      <c r="C11" s="883"/>
      <c r="D11" s="884"/>
      <c r="E11" s="228"/>
      <c r="F11" s="229"/>
      <c r="G11" s="230"/>
      <c r="H11" s="230"/>
      <c r="I11" s="231"/>
      <c r="J11" s="229"/>
      <c r="K11" s="230"/>
      <c r="L11" s="230"/>
      <c r="M11" s="232"/>
      <c r="N11" s="229"/>
      <c r="O11" s="230"/>
      <c r="P11" s="230"/>
      <c r="Q11" s="233"/>
      <c r="R11" s="228"/>
      <c r="S11" s="228"/>
      <c r="T11" s="405"/>
    </row>
    <row r="12" spans="1:20" ht="18" customHeight="1">
      <c r="A12" s="234">
        <f>A11+1</f>
        <v>2</v>
      </c>
      <c r="B12" s="235" t="s">
        <v>41</v>
      </c>
      <c r="C12" s="235"/>
      <c r="D12" s="236"/>
      <c r="E12" s="237"/>
      <c r="F12" s="238"/>
      <c r="G12" s="239"/>
      <c r="H12" s="239"/>
      <c r="I12" s="240"/>
      <c r="J12" s="238"/>
      <c r="K12" s="239"/>
      <c r="L12" s="239"/>
      <c r="M12" s="241"/>
      <c r="N12" s="238"/>
      <c r="O12" s="239"/>
      <c r="P12" s="239"/>
      <c r="Q12" s="241"/>
      <c r="R12" s="242"/>
      <c r="S12" s="242"/>
      <c r="T12" s="406"/>
    </row>
    <row r="13" spans="1:20">
      <c r="A13" s="243">
        <f>A12+1</f>
        <v>3</v>
      </c>
      <c r="B13" s="244"/>
      <c r="C13" s="244" t="s">
        <v>40</v>
      </c>
      <c r="D13" s="231"/>
      <c r="E13" s="245" t="s">
        <v>118</v>
      </c>
      <c r="F13" s="246">
        <f>'Qtr 2 Budget'!H13</f>
        <v>0</v>
      </c>
      <c r="G13" s="392"/>
      <c r="H13" s="247">
        <f>SUM(F13:G13)</f>
        <v>0</v>
      </c>
      <c r="I13" s="393"/>
      <c r="J13" s="246">
        <f>'Qtr 2 Budget'!L13</f>
        <v>0</v>
      </c>
      <c r="K13" s="392"/>
      <c r="L13" s="247">
        <f>SUM(J13:K13)</f>
        <v>0</v>
      </c>
      <c r="M13" s="393"/>
      <c r="N13" s="249">
        <f>F13+J13</f>
        <v>0</v>
      </c>
      <c r="O13" s="250">
        <f>K13+G13</f>
        <v>0</v>
      </c>
      <c r="P13" s="250">
        <f>SUM(N13:O13)</f>
        <v>0</v>
      </c>
      <c r="Q13" s="240">
        <f>M13+I13</f>
        <v>0</v>
      </c>
      <c r="R13" s="251">
        <f t="shared" ref="R13:R22" si="0">P13/$P$85</f>
        <v>0</v>
      </c>
      <c r="S13" s="252" t="str">
        <f>IFERROR(Q13/P13,"")</f>
        <v/>
      </c>
      <c r="T13" s="407"/>
    </row>
    <row r="14" spans="1:20">
      <c r="A14" s="243">
        <f t="shared" ref="A14:A77" si="1">A13+1</f>
        <v>4</v>
      </c>
      <c r="B14" s="244"/>
      <c r="C14" s="244" t="s">
        <v>108</v>
      </c>
      <c r="D14" s="231"/>
      <c r="E14" s="245" t="s">
        <v>119</v>
      </c>
      <c r="F14" s="253"/>
      <c r="G14" s="254"/>
      <c r="H14" s="254"/>
      <c r="I14" s="255"/>
      <c r="J14" s="246">
        <f>'Qtr 2 Budget'!L14</f>
        <v>0</v>
      </c>
      <c r="K14" s="392"/>
      <c r="L14" s="247">
        <f t="shared" ref="L14:L21" si="2">SUM(J14:K14)</f>
        <v>0</v>
      </c>
      <c r="M14" s="393"/>
      <c r="N14" s="249">
        <f t="shared" ref="N14:N21" si="3">F14+J14</f>
        <v>0</v>
      </c>
      <c r="O14" s="250">
        <f t="shared" ref="O14:O21" si="4">K14+G14</f>
        <v>0</v>
      </c>
      <c r="P14" s="250">
        <f t="shared" ref="P14:P21" si="5">SUM(N14:O14)</f>
        <v>0</v>
      </c>
      <c r="Q14" s="240">
        <f t="shared" ref="Q14:Q21" si="6">M14+I14</f>
        <v>0</v>
      </c>
      <c r="R14" s="251">
        <f t="shared" si="0"/>
        <v>0</v>
      </c>
      <c r="S14" s="252" t="str">
        <f t="shared" ref="S14:S22" si="7">IFERROR(Q14/P14,"")</f>
        <v/>
      </c>
      <c r="T14" s="407"/>
    </row>
    <row r="15" spans="1:20">
      <c r="A15" s="243">
        <f t="shared" si="1"/>
        <v>5</v>
      </c>
      <c r="B15" s="244"/>
      <c r="C15" s="244" t="s">
        <v>42</v>
      </c>
      <c r="D15" s="231"/>
      <c r="E15" s="245">
        <v>1920</v>
      </c>
      <c r="F15" s="246">
        <f>'Qtr 2 Budget'!H15</f>
        <v>0</v>
      </c>
      <c r="G15" s="392"/>
      <c r="H15" s="247">
        <f t="shared" ref="H15:H21" si="8">SUM(F15:G15)</f>
        <v>0</v>
      </c>
      <c r="I15" s="393"/>
      <c r="J15" s="246">
        <f>'Qtr 2 Budget'!L15</f>
        <v>0</v>
      </c>
      <c r="K15" s="392"/>
      <c r="L15" s="247">
        <f t="shared" si="2"/>
        <v>0</v>
      </c>
      <c r="M15" s="393"/>
      <c r="N15" s="249">
        <f t="shared" si="3"/>
        <v>0</v>
      </c>
      <c r="O15" s="250">
        <f t="shared" si="4"/>
        <v>0</v>
      </c>
      <c r="P15" s="250">
        <f t="shared" si="5"/>
        <v>0</v>
      </c>
      <c r="Q15" s="240">
        <f t="shared" si="6"/>
        <v>0</v>
      </c>
      <c r="R15" s="251">
        <f t="shared" si="0"/>
        <v>0</v>
      </c>
      <c r="S15" s="252" t="str">
        <f t="shared" si="7"/>
        <v/>
      </c>
      <c r="T15" s="407"/>
    </row>
    <row r="16" spans="1:20">
      <c r="A16" s="243">
        <f t="shared" si="1"/>
        <v>6</v>
      </c>
      <c r="B16" s="244"/>
      <c r="C16" s="244" t="s">
        <v>109</v>
      </c>
      <c r="D16" s="231"/>
      <c r="E16" s="245">
        <v>1993</v>
      </c>
      <c r="F16" s="246">
        <f>'Qtr 2 Budget'!H16</f>
        <v>0</v>
      </c>
      <c r="G16" s="392"/>
      <c r="H16" s="247">
        <f t="shared" si="8"/>
        <v>0</v>
      </c>
      <c r="I16" s="393"/>
      <c r="J16" s="246">
        <f>'Qtr 2 Budget'!L16</f>
        <v>0</v>
      </c>
      <c r="K16" s="392"/>
      <c r="L16" s="247">
        <f t="shared" si="2"/>
        <v>0</v>
      </c>
      <c r="M16" s="393"/>
      <c r="N16" s="249">
        <f t="shared" si="3"/>
        <v>0</v>
      </c>
      <c r="O16" s="250">
        <f t="shared" si="4"/>
        <v>0</v>
      </c>
      <c r="P16" s="250">
        <f t="shared" si="5"/>
        <v>0</v>
      </c>
      <c r="Q16" s="240">
        <f t="shared" si="6"/>
        <v>0</v>
      </c>
      <c r="R16" s="251">
        <f t="shared" si="0"/>
        <v>0</v>
      </c>
      <c r="S16" s="252" t="str">
        <f t="shared" si="7"/>
        <v/>
      </c>
      <c r="T16" s="407"/>
    </row>
    <row r="17" spans="1:20">
      <c r="A17" s="243">
        <f t="shared" si="1"/>
        <v>7</v>
      </c>
      <c r="B17" s="244"/>
      <c r="C17" s="244" t="s">
        <v>130</v>
      </c>
      <c r="D17" s="231"/>
      <c r="E17" s="245">
        <v>1994</v>
      </c>
      <c r="F17" s="246">
        <f>'Qtr 2 Budget'!H17</f>
        <v>1949250</v>
      </c>
      <c r="G17" s="392"/>
      <c r="H17" s="247">
        <f t="shared" si="8"/>
        <v>1949250</v>
      </c>
      <c r="I17" s="393"/>
      <c r="J17" s="253"/>
      <c r="K17" s="254"/>
      <c r="L17" s="254"/>
      <c r="M17" s="255"/>
      <c r="N17" s="249">
        <f t="shared" si="3"/>
        <v>1949250</v>
      </c>
      <c r="O17" s="250">
        <f t="shared" si="4"/>
        <v>0</v>
      </c>
      <c r="P17" s="250">
        <f t="shared" si="5"/>
        <v>1949250</v>
      </c>
      <c r="Q17" s="240">
        <f t="shared" si="6"/>
        <v>0</v>
      </c>
      <c r="R17" s="251">
        <f t="shared" si="0"/>
        <v>0.35666548125726882</v>
      </c>
      <c r="S17" s="252">
        <f t="shared" si="7"/>
        <v>0</v>
      </c>
      <c r="T17" s="407"/>
    </row>
    <row r="18" spans="1:20">
      <c r="A18" s="243">
        <f t="shared" si="1"/>
        <v>8</v>
      </c>
      <c r="B18" s="244"/>
      <c r="C18" s="244" t="s">
        <v>117</v>
      </c>
      <c r="D18" s="231"/>
      <c r="E18" s="245" t="s">
        <v>102</v>
      </c>
      <c r="F18" s="246">
        <f>'Qtr 2 Budget'!H18</f>
        <v>0.37348432425915234</v>
      </c>
      <c r="G18" s="392"/>
      <c r="H18" s="247">
        <f t="shared" si="8"/>
        <v>0.37348432425915234</v>
      </c>
      <c r="I18" s="393"/>
      <c r="J18" s="246">
        <f>'Qtr 2 Budget'!L18</f>
        <v>5218</v>
      </c>
      <c r="K18" s="392"/>
      <c r="L18" s="247">
        <f t="shared" si="2"/>
        <v>5218</v>
      </c>
      <c r="M18" s="393"/>
      <c r="N18" s="249">
        <f t="shared" si="3"/>
        <v>5218.3734843242592</v>
      </c>
      <c r="O18" s="250">
        <f t="shared" si="4"/>
        <v>0</v>
      </c>
      <c r="P18" s="250">
        <f t="shared" si="5"/>
        <v>5218.3734843242592</v>
      </c>
      <c r="Q18" s="240">
        <f t="shared" si="6"/>
        <v>0</v>
      </c>
      <c r="R18" s="251">
        <f t="shared" si="0"/>
        <v>9.5483580359968334E-4</v>
      </c>
      <c r="S18" s="252">
        <f t="shared" si="7"/>
        <v>0</v>
      </c>
      <c r="T18" s="407"/>
    </row>
    <row r="19" spans="1:20">
      <c r="A19" s="243">
        <f t="shared" si="1"/>
        <v>9</v>
      </c>
      <c r="B19" s="396"/>
      <c r="C19" s="396" t="s">
        <v>181</v>
      </c>
      <c r="D19" s="394"/>
      <c r="E19" s="395"/>
      <c r="F19" s="246">
        <f>'Qtr 2 Budget'!H19</f>
        <v>0</v>
      </c>
      <c r="G19" s="392"/>
      <c r="H19" s="247">
        <f t="shared" si="8"/>
        <v>0</v>
      </c>
      <c r="I19" s="393"/>
      <c r="J19" s="246">
        <f>'Qtr 2 Budget'!L19</f>
        <v>0</v>
      </c>
      <c r="K19" s="392"/>
      <c r="L19" s="247">
        <f t="shared" si="2"/>
        <v>0</v>
      </c>
      <c r="M19" s="393"/>
      <c r="N19" s="249">
        <f t="shared" si="3"/>
        <v>0</v>
      </c>
      <c r="O19" s="250">
        <f t="shared" si="4"/>
        <v>0</v>
      </c>
      <c r="P19" s="250">
        <f t="shared" si="5"/>
        <v>0</v>
      </c>
      <c r="Q19" s="240">
        <f t="shared" si="6"/>
        <v>0</v>
      </c>
      <c r="R19" s="251">
        <f t="shared" si="0"/>
        <v>0</v>
      </c>
      <c r="S19" s="252" t="str">
        <f t="shared" si="7"/>
        <v/>
      </c>
      <c r="T19" s="407"/>
    </row>
    <row r="20" spans="1:20">
      <c r="A20" s="243">
        <f t="shared" si="1"/>
        <v>10</v>
      </c>
      <c r="B20" s="396"/>
      <c r="C20" s="396" t="s">
        <v>181</v>
      </c>
      <c r="D20" s="394"/>
      <c r="E20" s="395"/>
      <c r="F20" s="246">
        <f>'Qtr 2 Budget'!H20</f>
        <v>0</v>
      </c>
      <c r="G20" s="392"/>
      <c r="H20" s="247">
        <f t="shared" si="8"/>
        <v>0</v>
      </c>
      <c r="I20" s="393"/>
      <c r="J20" s="246">
        <f>'Qtr 2 Budget'!L20</f>
        <v>0</v>
      </c>
      <c r="K20" s="392"/>
      <c r="L20" s="247">
        <f t="shared" si="2"/>
        <v>0</v>
      </c>
      <c r="M20" s="393"/>
      <c r="N20" s="249">
        <f t="shared" si="3"/>
        <v>0</v>
      </c>
      <c r="O20" s="250">
        <f t="shared" si="4"/>
        <v>0</v>
      </c>
      <c r="P20" s="250">
        <f t="shared" si="5"/>
        <v>0</v>
      </c>
      <c r="Q20" s="240">
        <f t="shared" si="6"/>
        <v>0</v>
      </c>
      <c r="R20" s="251">
        <f t="shared" si="0"/>
        <v>0</v>
      </c>
      <c r="S20" s="252" t="str">
        <f t="shared" si="7"/>
        <v/>
      </c>
      <c r="T20" s="407"/>
    </row>
    <row r="21" spans="1:20">
      <c r="A21" s="243">
        <f t="shared" si="1"/>
        <v>11</v>
      </c>
      <c r="B21" s="396"/>
      <c r="C21" s="396" t="s">
        <v>181</v>
      </c>
      <c r="D21" s="394"/>
      <c r="E21" s="395"/>
      <c r="F21" s="246">
        <f>'Qtr 2 Budget'!H21</f>
        <v>0</v>
      </c>
      <c r="G21" s="392"/>
      <c r="H21" s="247">
        <f t="shared" si="8"/>
        <v>0</v>
      </c>
      <c r="I21" s="393"/>
      <c r="J21" s="246">
        <f>'Qtr 2 Budget'!L21</f>
        <v>0</v>
      </c>
      <c r="K21" s="392"/>
      <c r="L21" s="247">
        <f t="shared" si="2"/>
        <v>0</v>
      </c>
      <c r="M21" s="393"/>
      <c r="N21" s="249">
        <f t="shared" si="3"/>
        <v>0</v>
      </c>
      <c r="O21" s="250">
        <f t="shared" si="4"/>
        <v>0</v>
      </c>
      <c r="P21" s="250">
        <f t="shared" si="5"/>
        <v>0</v>
      </c>
      <c r="Q21" s="240">
        <f t="shared" si="6"/>
        <v>0</v>
      </c>
      <c r="R21" s="251">
        <f t="shared" si="0"/>
        <v>0</v>
      </c>
      <c r="S21" s="252" t="str">
        <f t="shared" si="7"/>
        <v/>
      </c>
      <c r="T21" s="407"/>
    </row>
    <row r="22" spans="1:20" ht="18" customHeight="1">
      <c r="A22" s="256">
        <f t="shared" si="1"/>
        <v>12</v>
      </c>
      <c r="B22" s="257" t="s">
        <v>43</v>
      </c>
      <c r="C22" s="257"/>
      <c r="D22" s="258"/>
      <c r="E22" s="259"/>
      <c r="F22" s="260">
        <f>SUM(F13:F21)</f>
        <v>1949250.3734843242</v>
      </c>
      <c r="G22" s="261">
        <f t="shared" ref="G22:Q22" si="9">SUM(G13:G21)</f>
        <v>0</v>
      </c>
      <c r="H22" s="261">
        <f t="shared" si="9"/>
        <v>1949250.3734843242</v>
      </c>
      <c r="I22" s="262">
        <f t="shared" si="9"/>
        <v>0</v>
      </c>
      <c r="J22" s="260">
        <f t="shared" si="9"/>
        <v>5218</v>
      </c>
      <c r="K22" s="261">
        <f t="shared" si="9"/>
        <v>0</v>
      </c>
      <c r="L22" s="261">
        <f t="shared" si="9"/>
        <v>5218</v>
      </c>
      <c r="M22" s="262">
        <f t="shared" si="9"/>
        <v>0</v>
      </c>
      <c r="N22" s="260">
        <f t="shared" si="9"/>
        <v>1954468.3734843242</v>
      </c>
      <c r="O22" s="261">
        <f t="shared" si="9"/>
        <v>0</v>
      </c>
      <c r="P22" s="261">
        <f t="shared" si="9"/>
        <v>1954468.3734843242</v>
      </c>
      <c r="Q22" s="262">
        <f t="shared" si="9"/>
        <v>0</v>
      </c>
      <c r="R22" s="263">
        <f t="shared" si="0"/>
        <v>0.3576203170608685</v>
      </c>
      <c r="S22" s="263">
        <f t="shared" si="7"/>
        <v>0</v>
      </c>
      <c r="T22" s="408"/>
    </row>
    <row r="23" spans="1:20">
      <c r="A23" s="243">
        <f t="shared" si="1"/>
        <v>13</v>
      </c>
      <c r="B23" s="244"/>
      <c r="C23" s="244"/>
      <c r="D23" s="231"/>
      <c r="E23" s="264"/>
      <c r="F23" s="246"/>
      <c r="G23" s="247"/>
      <c r="H23" s="247"/>
      <c r="I23" s="248"/>
      <c r="J23" s="246"/>
      <c r="K23" s="247"/>
      <c r="L23" s="247"/>
      <c r="M23" s="248"/>
      <c r="N23" s="246"/>
      <c r="O23" s="247"/>
      <c r="P23" s="247"/>
      <c r="Q23" s="248"/>
      <c r="R23" s="265"/>
      <c r="S23" s="265"/>
      <c r="T23" s="409"/>
    </row>
    <row r="24" spans="1:20" ht="18" customHeight="1">
      <c r="A24" s="234">
        <f t="shared" si="1"/>
        <v>14</v>
      </c>
      <c r="B24" s="235" t="s">
        <v>44</v>
      </c>
      <c r="C24" s="235"/>
      <c r="D24" s="236"/>
      <c r="E24" s="266"/>
      <c r="F24" s="249"/>
      <c r="G24" s="250"/>
      <c r="H24" s="250"/>
      <c r="I24" s="240"/>
      <c r="J24" s="249"/>
      <c r="K24" s="250"/>
      <c r="L24" s="250"/>
      <c r="M24" s="240"/>
      <c r="N24" s="249"/>
      <c r="O24" s="250"/>
      <c r="P24" s="250"/>
      <c r="Q24" s="240"/>
      <c r="R24" s="267"/>
      <c r="S24" s="267"/>
      <c r="T24" s="410"/>
    </row>
    <row r="25" spans="1:20">
      <c r="A25" s="243">
        <f t="shared" si="1"/>
        <v>15</v>
      </c>
      <c r="B25" s="244"/>
      <c r="C25" s="244" t="s">
        <v>45</v>
      </c>
      <c r="D25" s="231"/>
      <c r="E25" s="266"/>
      <c r="F25" s="249"/>
      <c r="G25" s="250"/>
      <c r="H25" s="250"/>
      <c r="I25" s="240"/>
      <c r="J25" s="249"/>
      <c r="K25" s="250"/>
      <c r="L25" s="250"/>
      <c r="M25" s="240"/>
      <c r="N25" s="249"/>
      <c r="O25" s="250"/>
      <c r="P25" s="250"/>
      <c r="Q25" s="240"/>
      <c r="R25" s="267"/>
      <c r="S25" s="267"/>
      <c r="T25" s="410"/>
    </row>
    <row r="26" spans="1:20">
      <c r="A26" s="243">
        <f t="shared" si="1"/>
        <v>16</v>
      </c>
      <c r="B26" s="244"/>
      <c r="C26" s="244"/>
      <c r="D26" s="231" t="s">
        <v>46</v>
      </c>
      <c r="E26" s="245">
        <v>3110</v>
      </c>
      <c r="F26" s="246">
        <f>'Qtr 2 Budget'!H26</f>
        <v>1390554.1230767467</v>
      </c>
      <c r="G26" s="392"/>
      <c r="H26" s="247">
        <f t="shared" ref="H26:H38" si="10">SUM(F26:G26)</f>
        <v>1390554.1230767467</v>
      </c>
      <c r="I26" s="393"/>
      <c r="J26" s="253"/>
      <c r="K26" s="254"/>
      <c r="L26" s="254"/>
      <c r="M26" s="255"/>
      <c r="N26" s="246">
        <f>F26+J26</f>
        <v>1390554.1230767467</v>
      </c>
      <c r="O26" s="247">
        <f>K26+G26</f>
        <v>0</v>
      </c>
      <c r="P26" s="247">
        <f>SUM(N26:O26)</f>
        <v>1390554.1230767467</v>
      </c>
      <c r="Q26" s="240">
        <f>M26+I26</f>
        <v>0</v>
      </c>
      <c r="R26" s="251">
        <f>P26/$P$85</f>
        <v>0.25443768399202121</v>
      </c>
      <c r="S26" s="251">
        <f t="shared" ref="S26:S27" si="11">IFERROR(Q26/P26,"")</f>
        <v>0</v>
      </c>
      <c r="T26" s="407"/>
    </row>
    <row r="27" spans="1:20">
      <c r="A27" s="243">
        <f t="shared" si="1"/>
        <v>17</v>
      </c>
      <c r="B27" s="244"/>
      <c r="C27" s="244"/>
      <c r="D27" s="231" t="s">
        <v>47</v>
      </c>
      <c r="E27" s="245">
        <v>3190</v>
      </c>
      <c r="F27" s="246">
        <f>'Qtr 2 Budget'!H27</f>
        <v>0</v>
      </c>
      <c r="G27" s="392"/>
      <c r="H27" s="247">
        <f t="shared" si="10"/>
        <v>0</v>
      </c>
      <c r="I27" s="393"/>
      <c r="J27" s="246">
        <f>'Qtr 2 Budget'!L27</f>
        <v>0</v>
      </c>
      <c r="K27" s="392"/>
      <c r="L27" s="247">
        <f t="shared" ref="L27" si="12">SUM(J27:K27)</f>
        <v>0</v>
      </c>
      <c r="M27" s="393"/>
      <c r="N27" s="246">
        <f>F27+J27</f>
        <v>0</v>
      </c>
      <c r="O27" s="247">
        <f>K27+G27</f>
        <v>0</v>
      </c>
      <c r="P27" s="247">
        <f>SUM(N27:O27)</f>
        <v>0</v>
      </c>
      <c r="Q27" s="240">
        <f>M27+I27</f>
        <v>0</v>
      </c>
      <c r="R27" s="251">
        <f>P27/$P$85</f>
        <v>0</v>
      </c>
      <c r="S27" s="251" t="str">
        <f t="shared" si="11"/>
        <v/>
      </c>
      <c r="T27" s="407"/>
    </row>
    <row r="28" spans="1:20">
      <c r="A28" s="243">
        <f t="shared" si="1"/>
        <v>18</v>
      </c>
      <c r="B28" s="244"/>
      <c r="C28" s="244" t="s">
        <v>48</v>
      </c>
      <c r="D28" s="231"/>
      <c r="E28" s="237"/>
      <c r="F28" s="249"/>
      <c r="G28" s="250"/>
      <c r="H28" s="250"/>
      <c r="I28" s="240"/>
      <c r="J28" s="249"/>
      <c r="K28" s="250"/>
      <c r="L28" s="250"/>
      <c r="M28" s="240"/>
      <c r="N28" s="249"/>
      <c r="O28" s="250"/>
      <c r="P28" s="250"/>
      <c r="Q28" s="240"/>
      <c r="R28" s="251"/>
      <c r="S28" s="251"/>
      <c r="T28" s="410"/>
    </row>
    <row r="29" spans="1:20">
      <c r="A29" s="243">
        <f t="shared" si="1"/>
        <v>19</v>
      </c>
      <c r="B29" s="244"/>
      <c r="C29" s="244"/>
      <c r="D29" s="231" t="s">
        <v>49</v>
      </c>
      <c r="E29" s="245">
        <v>3220</v>
      </c>
      <c r="F29" s="246">
        <f>'Qtr 2 Budget'!H29</f>
        <v>0</v>
      </c>
      <c r="G29" s="392"/>
      <c r="H29" s="247">
        <f t="shared" si="10"/>
        <v>0</v>
      </c>
      <c r="I29" s="393"/>
      <c r="J29" s="246">
        <f>'Qtr 2 Budget'!L29</f>
        <v>0</v>
      </c>
      <c r="K29" s="392"/>
      <c r="L29" s="247">
        <f t="shared" ref="L29:L38" si="13">SUM(J29:K29)</f>
        <v>0</v>
      </c>
      <c r="M29" s="393"/>
      <c r="N29" s="246">
        <f t="shared" ref="N29:N38" si="14">F29+J29</f>
        <v>0</v>
      </c>
      <c r="O29" s="247">
        <f t="shared" ref="O29:O38" si="15">K29+G29</f>
        <v>0</v>
      </c>
      <c r="P29" s="247">
        <f t="shared" ref="P29:P38" si="16">SUM(N29:O29)</f>
        <v>0</v>
      </c>
      <c r="Q29" s="240">
        <f t="shared" ref="Q29:Q38" si="17">M29+I29</f>
        <v>0</v>
      </c>
      <c r="R29" s="251">
        <f t="shared" ref="R29:R39" si="18">P29/$P$85</f>
        <v>0</v>
      </c>
      <c r="S29" s="251" t="str">
        <f t="shared" ref="S29:S39" si="19">IFERROR(Q29/P29,"")</f>
        <v/>
      </c>
      <c r="T29" s="407"/>
    </row>
    <row r="30" spans="1:20">
      <c r="A30" s="243">
        <f t="shared" si="1"/>
        <v>20</v>
      </c>
      <c r="B30" s="244"/>
      <c r="C30" s="244"/>
      <c r="D30" s="231" t="s">
        <v>50</v>
      </c>
      <c r="E30" s="245">
        <v>3230</v>
      </c>
      <c r="F30" s="246">
        <f>'Qtr 2 Budget'!H30</f>
        <v>0</v>
      </c>
      <c r="G30" s="392"/>
      <c r="H30" s="247">
        <f t="shared" si="10"/>
        <v>0</v>
      </c>
      <c r="I30" s="393"/>
      <c r="J30" s="253"/>
      <c r="K30" s="254"/>
      <c r="L30" s="254"/>
      <c r="M30" s="255"/>
      <c r="N30" s="246">
        <f t="shared" si="14"/>
        <v>0</v>
      </c>
      <c r="O30" s="247">
        <f t="shared" si="15"/>
        <v>0</v>
      </c>
      <c r="P30" s="247">
        <f t="shared" si="16"/>
        <v>0</v>
      </c>
      <c r="Q30" s="240">
        <f t="shared" si="17"/>
        <v>0</v>
      </c>
      <c r="R30" s="251">
        <f t="shared" si="18"/>
        <v>0</v>
      </c>
      <c r="S30" s="251" t="str">
        <f t="shared" si="19"/>
        <v/>
      </c>
      <c r="T30" s="407"/>
    </row>
    <row r="31" spans="1:20">
      <c r="A31" s="243">
        <f t="shared" si="1"/>
        <v>21</v>
      </c>
      <c r="B31" s="244"/>
      <c r="C31" s="244"/>
      <c r="D31" s="231" t="s">
        <v>94</v>
      </c>
      <c r="E31" s="245">
        <v>3290</v>
      </c>
      <c r="F31" s="246">
        <f>'Qtr 2 Budget'!H31</f>
        <v>0</v>
      </c>
      <c r="G31" s="392"/>
      <c r="H31" s="247">
        <f t="shared" si="10"/>
        <v>0</v>
      </c>
      <c r="I31" s="393"/>
      <c r="J31" s="246">
        <f>'Qtr 2 Budget'!L31</f>
        <v>0</v>
      </c>
      <c r="K31" s="392"/>
      <c r="L31" s="247">
        <f t="shared" si="13"/>
        <v>0</v>
      </c>
      <c r="M31" s="393"/>
      <c r="N31" s="246">
        <f t="shared" si="14"/>
        <v>0</v>
      </c>
      <c r="O31" s="247">
        <f t="shared" si="15"/>
        <v>0</v>
      </c>
      <c r="P31" s="247">
        <f t="shared" si="16"/>
        <v>0</v>
      </c>
      <c r="Q31" s="240">
        <f t="shared" si="17"/>
        <v>0</v>
      </c>
      <c r="R31" s="251">
        <f t="shared" si="18"/>
        <v>0</v>
      </c>
      <c r="S31" s="251" t="str">
        <f t="shared" si="19"/>
        <v/>
      </c>
      <c r="T31" s="407"/>
    </row>
    <row r="32" spans="1:20">
      <c r="A32" s="243">
        <f t="shared" si="1"/>
        <v>22</v>
      </c>
      <c r="B32" s="244"/>
      <c r="C32" s="244"/>
      <c r="D32" s="231" t="s">
        <v>164</v>
      </c>
      <c r="E32" s="245">
        <v>3240</v>
      </c>
      <c r="F32" s="246">
        <f>'Qtr 2 Budget'!H32</f>
        <v>111600</v>
      </c>
      <c r="G32" s="392"/>
      <c r="H32" s="247">
        <f t="shared" si="10"/>
        <v>111600</v>
      </c>
      <c r="I32" s="393"/>
      <c r="J32" s="246">
        <f>'Qtr 2 Budget'!L32</f>
        <v>0</v>
      </c>
      <c r="K32" s="392"/>
      <c r="L32" s="247">
        <f t="shared" si="13"/>
        <v>0</v>
      </c>
      <c r="M32" s="393"/>
      <c r="N32" s="246">
        <f t="shared" si="14"/>
        <v>111600</v>
      </c>
      <c r="O32" s="247">
        <f t="shared" si="15"/>
        <v>0</v>
      </c>
      <c r="P32" s="247">
        <f t="shared" si="16"/>
        <v>111600</v>
      </c>
      <c r="Q32" s="240">
        <f t="shared" si="17"/>
        <v>0</v>
      </c>
      <c r="R32" s="251">
        <f t="shared" si="18"/>
        <v>2.0420093732620857E-2</v>
      </c>
      <c r="S32" s="251">
        <f t="shared" si="19"/>
        <v>0</v>
      </c>
      <c r="T32" s="407"/>
    </row>
    <row r="33" spans="1:20">
      <c r="A33" s="243">
        <f t="shared" si="1"/>
        <v>23</v>
      </c>
      <c r="B33" s="244"/>
      <c r="C33" s="244"/>
      <c r="D33" s="231" t="s">
        <v>133</v>
      </c>
      <c r="E33" s="245">
        <v>3290</v>
      </c>
      <c r="F33" s="246">
        <f>'Qtr 2 Budget'!H33</f>
        <v>0</v>
      </c>
      <c r="G33" s="392"/>
      <c r="H33" s="247">
        <f t="shared" si="10"/>
        <v>0</v>
      </c>
      <c r="I33" s="393"/>
      <c r="J33" s="246">
        <f>'Qtr 2 Budget'!L33</f>
        <v>0</v>
      </c>
      <c r="K33" s="392"/>
      <c r="L33" s="247">
        <f t="shared" si="13"/>
        <v>0</v>
      </c>
      <c r="M33" s="393"/>
      <c r="N33" s="246">
        <f t="shared" si="14"/>
        <v>0</v>
      </c>
      <c r="O33" s="247">
        <f t="shared" si="15"/>
        <v>0</v>
      </c>
      <c r="P33" s="247">
        <f t="shared" si="16"/>
        <v>0</v>
      </c>
      <c r="Q33" s="240">
        <f t="shared" si="17"/>
        <v>0</v>
      </c>
      <c r="R33" s="251">
        <f t="shared" si="18"/>
        <v>0</v>
      </c>
      <c r="S33" s="251" t="str">
        <f t="shared" si="19"/>
        <v/>
      </c>
      <c r="T33" s="407"/>
    </row>
    <row r="34" spans="1:20">
      <c r="A34" s="243">
        <f t="shared" si="1"/>
        <v>24</v>
      </c>
      <c r="B34" s="244"/>
      <c r="C34" s="244"/>
      <c r="D34" s="231" t="s">
        <v>137</v>
      </c>
      <c r="E34" s="245">
        <v>3290</v>
      </c>
      <c r="F34" s="246">
        <f>'Qtr 2 Budget'!H34</f>
        <v>0</v>
      </c>
      <c r="G34" s="392"/>
      <c r="H34" s="247">
        <f t="shared" si="10"/>
        <v>0</v>
      </c>
      <c r="I34" s="393"/>
      <c r="J34" s="246">
        <f>'Qtr 2 Budget'!L34</f>
        <v>0</v>
      </c>
      <c r="K34" s="392"/>
      <c r="L34" s="247">
        <f t="shared" si="13"/>
        <v>0</v>
      </c>
      <c r="M34" s="393"/>
      <c r="N34" s="246">
        <f t="shared" si="14"/>
        <v>0</v>
      </c>
      <c r="O34" s="247">
        <f t="shared" si="15"/>
        <v>0</v>
      </c>
      <c r="P34" s="247">
        <f t="shared" si="16"/>
        <v>0</v>
      </c>
      <c r="Q34" s="240">
        <f t="shared" si="17"/>
        <v>0</v>
      </c>
      <c r="R34" s="251">
        <f t="shared" si="18"/>
        <v>0</v>
      </c>
      <c r="S34" s="251" t="str">
        <f t="shared" si="19"/>
        <v/>
      </c>
      <c r="T34" s="407"/>
    </row>
    <row r="35" spans="1:20">
      <c r="A35" s="243">
        <f t="shared" si="1"/>
        <v>25</v>
      </c>
      <c r="B35" s="396"/>
      <c r="C35" s="396" t="s">
        <v>181</v>
      </c>
      <c r="D35" s="394"/>
      <c r="E35" s="395"/>
      <c r="F35" s="246">
        <f>'Qtr 2 Budget'!H35</f>
        <v>300000</v>
      </c>
      <c r="G35" s="392"/>
      <c r="H35" s="247">
        <f t="shared" si="10"/>
        <v>300000</v>
      </c>
      <c r="I35" s="393"/>
      <c r="J35" s="246">
        <f>'Qtr 2 Budget'!L35</f>
        <v>0</v>
      </c>
      <c r="K35" s="392"/>
      <c r="L35" s="247">
        <f t="shared" si="13"/>
        <v>0</v>
      </c>
      <c r="M35" s="393"/>
      <c r="N35" s="246">
        <f t="shared" si="14"/>
        <v>300000</v>
      </c>
      <c r="O35" s="247">
        <f t="shared" si="15"/>
        <v>0</v>
      </c>
      <c r="P35" s="247">
        <f t="shared" si="16"/>
        <v>300000</v>
      </c>
      <c r="Q35" s="240">
        <f t="shared" si="17"/>
        <v>0</v>
      </c>
      <c r="R35" s="251">
        <f t="shared" si="18"/>
        <v>5.4892725087690469E-2</v>
      </c>
      <c r="S35" s="251">
        <f t="shared" si="19"/>
        <v>0</v>
      </c>
      <c r="T35" s="407"/>
    </row>
    <row r="36" spans="1:20">
      <c r="A36" s="243">
        <f t="shared" si="1"/>
        <v>26</v>
      </c>
      <c r="B36" s="396"/>
      <c r="C36" s="396" t="s">
        <v>181</v>
      </c>
      <c r="D36" s="394"/>
      <c r="E36" s="395"/>
      <c r="F36" s="246">
        <f>'Qtr 2 Budget'!H36</f>
        <v>0</v>
      </c>
      <c r="G36" s="392"/>
      <c r="H36" s="247">
        <f t="shared" si="10"/>
        <v>0</v>
      </c>
      <c r="I36" s="393"/>
      <c r="J36" s="246">
        <f>'Qtr 2 Budget'!L36</f>
        <v>0</v>
      </c>
      <c r="K36" s="392"/>
      <c r="L36" s="247">
        <f t="shared" si="13"/>
        <v>0</v>
      </c>
      <c r="M36" s="393"/>
      <c r="N36" s="246">
        <f t="shared" si="14"/>
        <v>0</v>
      </c>
      <c r="O36" s="247">
        <f t="shared" si="15"/>
        <v>0</v>
      </c>
      <c r="P36" s="247">
        <f t="shared" si="16"/>
        <v>0</v>
      </c>
      <c r="Q36" s="240">
        <f t="shared" si="17"/>
        <v>0</v>
      </c>
      <c r="R36" s="251">
        <f t="shared" si="18"/>
        <v>0</v>
      </c>
      <c r="S36" s="251" t="str">
        <f t="shared" si="19"/>
        <v/>
      </c>
      <c r="T36" s="407"/>
    </row>
    <row r="37" spans="1:20">
      <c r="A37" s="243">
        <f t="shared" si="1"/>
        <v>27</v>
      </c>
      <c r="B37" s="396"/>
      <c r="C37" s="396" t="s">
        <v>181</v>
      </c>
      <c r="D37" s="394"/>
      <c r="E37" s="397"/>
      <c r="F37" s="246">
        <f>'Qtr 2 Budget'!H37</f>
        <v>0</v>
      </c>
      <c r="G37" s="392"/>
      <c r="H37" s="247">
        <f t="shared" si="10"/>
        <v>0</v>
      </c>
      <c r="I37" s="393"/>
      <c r="J37" s="246">
        <f>'Qtr 2 Budget'!L37</f>
        <v>0</v>
      </c>
      <c r="K37" s="392"/>
      <c r="L37" s="247">
        <f t="shared" si="13"/>
        <v>0</v>
      </c>
      <c r="M37" s="393"/>
      <c r="N37" s="246">
        <f t="shared" si="14"/>
        <v>0</v>
      </c>
      <c r="O37" s="247">
        <f t="shared" si="15"/>
        <v>0</v>
      </c>
      <c r="P37" s="247">
        <f t="shared" si="16"/>
        <v>0</v>
      </c>
      <c r="Q37" s="240">
        <f t="shared" si="17"/>
        <v>0</v>
      </c>
      <c r="R37" s="251">
        <f t="shared" si="18"/>
        <v>0</v>
      </c>
      <c r="S37" s="251" t="str">
        <f t="shared" si="19"/>
        <v/>
      </c>
      <c r="T37" s="407"/>
    </row>
    <row r="38" spans="1:20">
      <c r="A38" s="243">
        <f t="shared" si="1"/>
        <v>28</v>
      </c>
      <c r="B38" s="396"/>
      <c r="C38" s="396" t="s">
        <v>181</v>
      </c>
      <c r="D38" s="394"/>
      <c r="E38" s="397"/>
      <c r="F38" s="246">
        <f>'Qtr 2 Budget'!H38</f>
        <v>0</v>
      </c>
      <c r="G38" s="392"/>
      <c r="H38" s="247">
        <f t="shared" si="10"/>
        <v>0</v>
      </c>
      <c r="I38" s="393"/>
      <c r="J38" s="246">
        <f>'Qtr 2 Budget'!L38</f>
        <v>0</v>
      </c>
      <c r="K38" s="392"/>
      <c r="L38" s="247">
        <f t="shared" si="13"/>
        <v>0</v>
      </c>
      <c r="M38" s="393"/>
      <c r="N38" s="246">
        <f t="shared" si="14"/>
        <v>0</v>
      </c>
      <c r="O38" s="247">
        <f t="shared" si="15"/>
        <v>0</v>
      </c>
      <c r="P38" s="247">
        <f t="shared" si="16"/>
        <v>0</v>
      </c>
      <c r="Q38" s="240">
        <f t="shared" si="17"/>
        <v>0</v>
      </c>
      <c r="R38" s="251">
        <f t="shared" si="18"/>
        <v>0</v>
      </c>
      <c r="S38" s="251" t="str">
        <f t="shared" si="19"/>
        <v/>
      </c>
      <c r="T38" s="407"/>
    </row>
    <row r="39" spans="1:20" ht="18" customHeight="1">
      <c r="A39" s="256">
        <f t="shared" si="1"/>
        <v>29</v>
      </c>
      <c r="B39" s="257" t="s">
        <v>51</v>
      </c>
      <c r="C39" s="257"/>
      <c r="D39" s="258"/>
      <c r="E39" s="259"/>
      <c r="F39" s="260">
        <f t="shared" ref="F39:Q39" si="20">SUM(F26:F38)</f>
        <v>1802154.1230767467</v>
      </c>
      <c r="G39" s="261">
        <f t="shared" si="20"/>
        <v>0</v>
      </c>
      <c r="H39" s="261">
        <f t="shared" si="20"/>
        <v>1802154.1230767467</v>
      </c>
      <c r="I39" s="262">
        <f t="shared" si="20"/>
        <v>0</v>
      </c>
      <c r="J39" s="260">
        <f t="shared" si="20"/>
        <v>0</v>
      </c>
      <c r="K39" s="261">
        <f t="shared" si="20"/>
        <v>0</v>
      </c>
      <c r="L39" s="261">
        <f t="shared" si="20"/>
        <v>0</v>
      </c>
      <c r="M39" s="262">
        <f t="shared" si="20"/>
        <v>0</v>
      </c>
      <c r="N39" s="260">
        <f t="shared" si="20"/>
        <v>1802154.1230767467</v>
      </c>
      <c r="O39" s="261">
        <f t="shared" si="20"/>
        <v>0</v>
      </c>
      <c r="P39" s="261">
        <f t="shared" si="20"/>
        <v>1802154.1230767467</v>
      </c>
      <c r="Q39" s="262">
        <f t="shared" si="20"/>
        <v>0</v>
      </c>
      <c r="R39" s="263">
        <f t="shared" si="18"/>
        <v>0.32975050281233254</v>
      </c>
      <c r="S39" s="263">
        <f t="shared" si="19"/>
        <v>0</v>
      </c>
      <c r="T39" s="408"/>
    </row>
    <row r="40" spans="1:20" ht="16" thickBot="1">
      <c r="A40" s="218">
        <f t="shared" si="1"/>
        <v>30</v>
      </c>
      <c r="B40" s="185"/>
      <c r="C40" s="185"/>
      <c r="D40" s="186"/>
      <c r="E40" s="187"/>
      <c r="F40" s="221"/>
      <c r="G40" s="224"/>
      <c r="H40" s="224"/>
      <c r="I40" s="186"/>
      <c r="J40" s="221"/>
      <c r="K40" s="224"/>
      <c r="L40" s="224"/>
      <c r="M40" s="186"/>
      <c r="N40" s="221"/>
      <c r="O40" s="224"/>
      <c r="P40" s="224"/>
      <c r="Q40" s="186"/>
      <c r="R40" s="188"/>
      <c r="S40" s="188"/>
      <c r="T40" s="411"/>
    </row>
    <row r="41" spans="1:20" ht="18" customHeight="1" thickTop="1">
      <c r="A41" s="268">
        <f t="shared" si="1"/>
        <v>31</v>
      </c>
      <c r="B41" s="269" t="s">
        <v>52</v>
      </c>
      <c r="C41" s="269"/>
      <c r="D41" s="270"/>
      <c r="E41" s="271"/>
      <c r="F41" s="272"/>
      <c r="G41" s="273"/>
      <c r="H41" s="273"/>
      <c r="I41" s="274"/>
      <c r="J41" s="272"/>
      <c r="K41" s="273"/>
      <c r="L41" s="273"/>
      <c r="M41" s="274"/>
      <c r="N41" s="272"/>
      <c r="O41" s="273"/>
      <c r="P41" s="273"/>
      <c r="Q41" s="274"/>
      <c r="R41" s="275"/>
      <c r="S41" s="275"/>
      <c r="T41" s="412"/>
    </row>
    <row r="42" spans="1:20">
      <c r="A42" s="243">
        <f t="shared" si="1"/>
        <v>32</v>
      </c>
      <c r="B42" s="244"/>
      <c r="C42" s="244" t="s">
        <v>53</v>
      </c>
      <c r="D42" s="231"/>
      <c r="E42" s="266"/>
      <c r="F42" s="238"/>
      <c r="G42" s="239"/>
      <c r="H42" s="239"/>
      <c r="I42" s="241"/>
      <c r="J42" s="238"/>
      <c r="K42" s="239"/>
      <c r="L42" s="239"/>
      <c r="M42" s="241"/>
      <c r="N42" s="238"/>
      <c r="O42" s="239"/>
      <c r="P42" s="239"/>
      <c r="Q42" s="241"/>
      <c r="R42" s="251"/>
      <c r="S42" s="251"/>
      <c r="T42" s="413"/>
    </row>
    <row r="43" spans="1:20">
      <c r="A43" s="243">
        <f t="shared" si="1"/>
        <v>33</v>
      </c>
      <c r="B43" s="244"/>
      <c r="C43" s="244"/>
      <c r="D43" s="231" t="s">
        <v>110</v>
      </c>
      <c r="E43" s="245">
        <v>4110</v>
      </c>
      <c r="F43" s="246">
        <f>'Qtr 2 Budget'!H43</f>
        <v>0</v>
      </c>
      <c r="G43" s="392"/>
      <c r="H43" s="247">
        <f t="shared" ref="H43:H79" si="21">SUM(F43:G43)</f>
        <v>0</v>
      </c>
      <c r="I43" s="393"/>
      <c r="J43" s="253"/>
      <c r="K43" s="254"/>
      <c r="L43" s="254"/>
      <c r="M43" s="255"/>
      <c r="N43" s="246">
        <f t="shared" ref="N43:N44" si="22">F43+J43</f>
        <v>0</v>
      </c>
      <c r="O43" s="247">
        <f t="shared" ref="O43:O44" si="23">K43+G43</f>
        <v>0</v>
      </c>
      <c r="P43" s="247">
        <f t="shared" ref="P43:P44" si="24">SUM(N43:O43)</f>
        <v>0</v>
      </c>
      <c r="Q43" s="240">
        <f t="shared" ref="Q43:Q44" si="25">M43+I43</f>
        <v>0</v>
      </c>
      <c r="R43" s="251">
        <f>P43/$P$85</f>
        <v>0</v>
      </c>
      <c r="S43" s="251" t="str">
        <f t="shared" ref="S43:S44" si="26">IFERROR(Q43/P43,"")</f>
        <v/>
      </c>
      <c r="T43" s="407"/>
    </row>
    <row r="44" spans="1:20">
      <c r="A44" s="243">
        <f t="shared" si="1"/>
        <v>34</v>
      </c>
      <c r="B44" s="244"/>
      <c r="C44" s="244"/>
      <c r="D44" s="231" t="s">
        <v>120</v>
      </c>
      <c r="E44" s="245">
        <v>4190</v>
      </c>
      <c r="F44" s="246">
        <f>'Qtr 2 Budget'!H44</f>
        <v>0</v>
      </c>
      <c r="G44" s="392"/>
      <c r="H44" s="247">
        <f t="shared" si="21"/>
        <v>0</v>
      </c>
      <c r="I44" s="393"/>
      <c r="J44" s="246">
        <f>'Qtr 2 Budget'!L44</f>
        <v>0</v>
      </c>
      <c r="K44" s="392"/>
      <c r="L44" s="247">
        <f t="shared" ref="L44" si="27">SUM(J44:K44)</f>
        <v>0</v>
      </c>
      <c r="M44" s="393"/>
      <c r="N44" s="246">
        <f t="shared" si="22"/>
        <v>0</v>
      </c>
      <c r="O44" s="247">
        <f t="shared" si="23"/>
        <v>0</v>
      </c>
      <c r="P44" s="247">
        <f t="shared" si="24"/>
        <v>0</v>
      </c>
      <c r="Q44" s="240">
        <f t="shared" si="25"/>
        <v>0</v>
      </c>
      <c r="R44" s="251">
        <f>P44/$P$85</f>
        <v>0</v>
      </c>
      <c r="S44" s="251" t="str">
        <f t="shared" si="26"/>
        <v/>
      </c>
      <c r="T44" s="407"/>
    </row>
    <row r="45" spans="1:20">
      <c r="A45" s="243">
        <f t="shared" si="1"/>
        <v>35</v>
      </c>
      <c r="B45" s="244"/>
      <c r="C45" s="244" t="s">
        <v>54</v>
      </c>
      <c r="D45" s="231"/>
      <c r="E45" s="237"/>
      <c r="F45" s="249"/>
      <c r="G45" s="250"/>
      <c r="H45" s="250"/>
      <c r="I45" s="240"/>
      <c r="J45" s="249"/>
      <c r="K45" s="250"/>
      <c r="L45" s="250"/>
      <c r="M45" s="240"/>
      <c r="N45" s="249"/>
      <c r="O45" s="250"/>
      <c r="P45" s="250"/>
      <c r="Q45" s="240"/>
      <c r="R45" s="251"/>
      <c r="S45" s="251"/>
      <c r="T45" s="414"/>
    </row>
    <row r="46" spans="1:20">
      <c r="A46" s="243">
        <f t="shared" si="1"/>
        <v>36</v>
      </c>
      <c r="B46" s="244"/>
      <c r="C46" s="244"/>
      <c r="D46" s="231" t="s">
        <v>111</v>
      </c>
      <c r="E46" s="245">
        <v>4330</v>
      </c>
      <c r="F46" s="246">
        <f>'Qtr 2 Budget'!H46</f>
        <v>0</v>
      </c>
      <c r="G46" s="392"/>
      <c r="H46" s="247">
        <f t="shared" si="21"/>
        <v>0</v>
      </c>
      <c r="I46" s="393"/>
      <c r="J46" s="246">
        <f>'Qtr 2 Budget'!L46</f>
        <v>0</v>
      </c>
      <c r="K46" s="392"/>
      <c r="L46" s="247">
        <f t="shared" ref="L46" si="28">SUM(J46:K46)</f>
        <v>0</v>
      </c>
      <c r="M46" s="393"/>
      <c r="N46" s="246">
        <f t="shared" ref="N46:N47" si="29">F46+J46</f>
        <v>0</v>
      </c>
      <c r="O46" s="247">
        <f t="shared" ref="O46:O47" si="30">K46+G46</f>
        <v>0</v>
      </c>
      <c r="P46" s="247">
        <f t="shared" ref="P46:P47" si="31">SUM(N46:O46)</f>
        <v>0</v>
      </c>
      <c r="Q46" s="240">
        <f t="shared" ref="Q46:Q47" si="32">M46+I46</f>
        <v>0</v>
      </c>
      <c r="R46" s="251">
        <f>P46/$P$85</f>
        <v>0</v>
      </c>
      <c r="S46" s="251" t="str">
        <f t="shared" ref="S46:S48" si="33">IFERROR(Q46/P46,"")</f>
        <v/>
      </c>
      <c r="T46" s="414"/>
    </row>
    <row r="47" spans="1:20">
      <c r="A47" s="243">
        <f t="shared" si="1"/>
        <v>37</v>
      </c>
      <c r="B47" s="244"/>
      <c r="C47" s="244"/>
      <c r="D47" s="231" t="s">
        <v>55</v>
      </c>
      <c r="E47" s="245">
        <v>4390</v>
      </c>
      <c r="F47" s="246">
        <f>'Qtr 2 Budget'!H47</f>
        <v>0</v>
      </c>
      <c r="G47" s="392"/>
      <c r="H47" s="247">
        <f t="shared" si="21"/>
        <v>0</v>
      </c>
      <c r="I47" s="393"/>
      <c r="J47" s="253"/>
      <c r="K47" s="254"/>
      <c r="L47" s="254"/>
      <c r="M47" s="255"/>
      <c r="N47" s="246">
        <f t="shared" si="29"/>
        <v>0</v>
      </c>
      <c r="O47" s="247">
        <f t="shared" si="30"/>
        <v>0</v>
      </c>
      <c r="P47" s="247">
        <f t="shared" si="31"/>
        <v>0</v>
      </c>
      <c r="Q47" s="240">
        <f t="shared" si="32"/>
        <v>0</v>
      </c>
      <c r="R47" s="251">
        <f>P47/$P$85</f>
        <v>0</v>
      </c>
      <c r="S47" s="251" t="str">
        <f t="shared" si="33"/>
        <v/>
      </c>
      <c r="T47" s="407"/>
    </row>
    <row r="48" spans="1:20">
      <c r="A48" s="243">
        <f t="shared" si="1"/>
        <v>38</v>
      </c>
      <c r="B48" s="244"/>
      <c r="C48" s="244"/>
      <c r="D48" s="231"/>
      <c r="E48" s="245"/>
      <c r="F48" s="246">
        <f>'Qtr 2 Budget'!H48</f>
        <v>0</v>
      </c>
      <c r="G48" s="392"/>
      <c r="H48" s="247">
        <f t="shared" si="21"/>
        <v>0</v>
      </c>
      <c r="I48" s="393"/>
      <c r="J48" s="246">
        <f>'Qtr 2 Budget'!L48</f>
        <v>0</v>
      </c>
      <c r="K48" s="392"/>
      <c r="L48" s="247">
        <f t="shared" ref="L48:L51" si="34">SUM(J48:K48)</f>
        <v>0</v>
      </c>
      <c r="M48" s="393"/>
      <c r="N48" s="246">
        <f>F48+J48</f>
        <v>0</v>
      </c>
      <c r="O48" s="247">
        <f>K48+G48</f>
        <v>0</v>
      </c>
      <c r="P48" s="247">
        <f>SUM(N48:O48)</f>
        <v>0</v>
      </c>
      <c r="Q48" s="240">
        <f>M48+I48</f>
        <v>0</v>
      </c>
      <c r="R48" s="251">
        <f>P48/$P$85</f>
        <v>0</v>
      </c>
      <c r="S48" s="251" t="str">
        <f t="shared" si="33"/>
        <v/>
      </c>
      <c r="T48" s="407"/>
    </row>
    <row r="49" spans="1:20">
      <c r="A49" s="243">
        <f t="shared" si="1"/>
        <v>39</v>
      </c>
      <c r="B49" s="244" t="s">
        <v>56</v>
      </c>
      <c r="C49" s="244"/>
      <c r="D49" s="231"/>
      <c r="E49" s="237"/>
      <c r="F49" s="249"/>
      <c r="G49" s="250"/>
      <c r="H49" s="250"/>
      <c r="I49" s="240"/>
      <c r="J49" s="249"/>
      <c r="K49" s="250"/>
      <c r="L49" s="250"/>
      <c r="M49" s="240"/>
      <c r="N49" s="249"/>
      <c r="O49" s="250"/>
      <c r="P49" s="250"/>
      <c r="Q49" s="240"/>
      <c r="R49" s="251"/>
      <c r="S49" s="251"/>
      <c r="T49" s="414"/>
    </row>
    <row r="50" spans="1:20">
      <c r="A50" s="243">
        <f t="shared" si="1"/>
        <v>40</v>
      </c>
      <c r="B50" s="244"/>
      <c r="C50" s="244"/>
      <c r="D50" s="231" t="s">
        <v>112</v>
      </c>
      <c r="E50" s="245">
        <v>4510</v>
      </c>
      <c r="F50" s="249"/>
      <c r="G50" s="250"/>
      <c r="H50" s="250"/>
      <c r="I50" s="240"/>
      <c r="J50" s="246">
        <f>'Qtr 2 Budget'!L50</f>
        <v>0</v>
      </c>
      <c r="K50" s="392"/>
      <c r="L50" s="247">
        <f t="shared" si="34"/>
        <v>0</v>
      </c>
      <c r="M50" s="393"/>
      <c r="N50" s="246">
        <f t="shared" ref="N50:N51" si="35">F50+J50</f>
        <v>0</v>
      </c>
      <c r="O50" s="247">
        <f t="shared" ref="O50:O51" si="36">K50+G50</f>
        <v>0</v>
      </c>
      <c r="P50" s="247">
        <f t="shared" ref="P50:P51" si="37">SUM(N50:O50)</f>
        <v>0</v>
      </c>
      <c r="Q50" s="240">
        <f t="shared" ref="Q50:Q51" si="38">M50+I50</f>
        <v>0</v>
      </c>
      <c r="R50" s="251">
        <f>P50/$P$85</f>
        <v>0</v>
      </c>
      <c r="S50" s="251" t="str">
        <f t="shared" ref="S50:S51" si="39">IFERROR(Q50/P50,"")</f>
        <v/>
      </c>
      <c r="T50" s="407"/>
    </row>
    <row r="51" spans="1:20">
      <c r="A51" s="243">
        <f t="shared" si="1"/>
        <v>41</v>
      </c>
      <c r="B51" s="244"/>
      <c r="C51" s="244"/>
      <c r="D51" s="231" t="s">
        <v>3</v>
      </c>
      <c r="E51" s="245">
        <v>4515</v>
      </c>
      <c r="F51" s="249"/>
      <c r="G51" s="250"/>
      <c r="H51" s="250"/>
      <c r="I51" s="240"/>
      <c r="J51" s="246">
        <f>'Qtr 2 Budget'!L51</f>
        <v>253953.58336078693</v>
      </c>
      <c r="K51" s="392"/>
      <c r="L51" s="247">
        <f t="shared" si="34"/>
        <v>253953.58336078693</v>
      </c>
      <c r="M51" s="393"/>
      <c r="N51" s="246">
        <f t="shared" si="35"/>
        <v>253953.58336078693</v>
      </c>
      <c r="O51" s="247">
        <f t="shared" si="36"/>
        <v>0</v>
      </c>
      <c r="P51" s="247">
        <f t="shared" si="37"/>
        <v>253953.58336078693</v>
      </c>
      <c r="Q51" s="240">
        <f t="shared" si="38"/>
        <v>0</v>
      </c>
      <c r="R51" s="251">
        <f>P51/$P$85</f>
        <v>4.6467347454858539E-2</v>
      </c>
      <c r="S51" s="251">
        <f t="shared" si="39"/>
        <v>0</v>
      </c>
      <c r="T51" s="407"/>
    </row>
    <row r="52" spans="1:20">
      <c r="A52" s="243">
        <f t="shared" si="1"/>
        <v>42</v>
      </c>
      <c r="B52" s="244"/>
      <c r="C52" s="244"/>
      <c r="D52" s="231" t="s">
        <v>4</v>
      </c>
      <c r="E52" s="237"/>
      <c r="F52" s="249"/>
      <c r="G52" s="250"/>
      <c r="H52" s="250"/>
      <c r="I52" s="240"/>
      <c r="J52" s="249"/>
      <c r="K52" s="250"/>
      <c r="L52" s="250"/>
      <c r="M52" s="240"/>
      <c r="N52" s="249"/>
      <c r="O52" s="250"/>
      <c r="P52" s="250"/>
      <c r="Q52" s="240"/>
      <c r="R52" s="251"/>
      <c r="S52" s="251"/>
      <c r="T52" s="414"/>
    </row>
    <row r="53" spans="1:20">
      <c r="A53" s="243">
        <f t="shared" si="1"/>
        <v>43</v>
      </c>
      <c r="B53" s="244"/>
      <c r="C53" s="244"/>
      <c r="D53" s="231" t="s">
        <v>57</v>
      </c>
      <c r="E53" s="245" t="s">
        <v>58</v>
      </c>
      <c r="F53" s="249"/>
      <c r="G53" s="250"/>
      <c r="H53" s="250"/>
      <c r="I53" s="240"/>
      <c r="J53" s="246">
        <f>'Qtr 2 Budget'!L53</f>
        <v>54419</v>
      </c>
      <c r="K53" s="392"/>
      <c r="L53" s="247">
        <f t="shared" ref="L53:L56" si="40">SUM(J53:K53)</f>
        <v>54419</v>
      </c>
      <c r="M53" s="393"/>
      <c r="N53" s="246">
        <f t="shared" ref="N53:N56" si="41">F53+J53</f>
        <v>54419</v>
      </c>
      <c r="O53" s="247">
        <f t="shared" ref="O53:O56" si="42">K53+G53</f>
        <v>0</v>
      </c>
      <c r="P53" s="247">
        <f t="shared" ref="P53:P56" si="43">SUM(N53:O53)</f>
        <v>54419</v>
      </c>
      <c r="Q53" s="240">
        <f t="shared" ref="Q53:Q56" si="44">M53+I53</f>
        <v>0</v>
      </c>
      <c r="R53" s="251">
        <f>P53/$P$85</f>
        <v>9.9573573551567599E-3</v>
      </c>
      <c r="S53" s="251">
        <f t="shared" ref="S53:S56" si="45">IFERROR(Q53/P53,"")</f>
        <v>0</v>
      </c>
      <c r="T53" s="407"/>
    </row>
    <row r="54" spans="1:20">
      <c r="A54" s="243">
        <f t="shared" si="1"/>
        <v>44</v>
      </c>
      <c r="B54" s="244"/>
      <c r="C54" s="244"/>
      <c r="D54" s="231" t="s">
        <v>59</v>
      </c>
      <c r="E54" s="245" t="s">
        <v>60</v>
      </c>
      <c r="F54" s="249"/>
      <c r="G54" s="250"/>
      <c r="H54" s="250"/>
      <c r="I54" s="240"/>
      <c r="J54" s="246">
        <f>'Qtr 2 Budget'!L54</f>
        <v>3500</v>
      </c>
      <c r="K54" s="392"/>
      <c r="L54" s="247">
        <f t="shared" si="40"/>
        <v>3500</v>
      </c>
      <c r="M54" s="393"/>
      <c r="N54" s="246">
        <f t="shared" si="41"/>
        <v>3500</v>
      </c>
      <c r="O54" s="247">
        <f t="shared" si="42"/>
        <v>0</v>
      </c>
      <c r="P54" s="247">
        <f t="shared" si="43"/>
        <v>3500</v>
      </c>
      <c r="Q54" s="240">
        <f t="shared" si="44"/>
        <v>0</v>
      </c>
      <c r="R54" s="251">
        <f>P54/$P$85</f>
        <v>6.4041512602305546E-4</v>
      </c>
      <c r="S54" s="251">
        <f t="shared" si="45"/>
        <v>0</v>
      </c>
      <c r="T54" s="407"/>
    </row>
    <row r="55" spans="1:20">
      <c r="A55" s="243">
        <f t="shared" si="1"/>
        <v>45</v>
      </c>
      <c r="B55" s="244"/>
      <c r="C55" s="244"/>
      <c r="D55" s="231" t="s">
        <v>140</v>
      </c>
      <c r="E55" s="245">
        <v>4535</v>
      </c>
      <c r="F55" s="249"/>
      <c r="G55" s="250"/>
      <c r="H55" s="250"/>
      <c r="I55" s="240"/>
      <c r="J55" s="246">
        <f>'Qtr 2 Budget'!L55</f>
        <v>0</v>
      </c>
      <c r="K55" s="392"/>
      <c r="L55" s="247">
        <f t="shared" si="40"/>
        <v>0</v>
      </c>
      <c r="M55" s="393"/>
      <c r="N55" s="246">
        <f t="shared" si="41"/>
        <v>0</v>
      </c>
      <c r="O55" s="247">
        <f t="shared" si="42"/>
        <v>0</v>
      </c>
      <c r="P55" s="247">
        <f t="shared" si="43"/>
        <v>0</v>
      </c>
      <c r="Q55" s="240">
        <f t="shared" si="44"/>
        <v>0</v>
      </c>
      <c r="R55" s="251">
        <f>P55/$P$85</f>
        <v>0</v>
      </c>
      <c r="S55" s="251" t="str">
        <f t="shared" si="45"/>
        <v/>
      </c>
      <c r="T55" s="407"/>
    </row>
    <row r="56" spans="1:20">
      <c r="A56" s="243">
        <f t="shared" si="1"/>
        <v>46</v>
      </c>
      <c r="B56" s="244"/>
      <c r="C56" s="244"/>
      <c r="D56" s="231" t="s">
        <v>61</v>
      </c>
      <c r="E56" s="245" t="s">
        <v>62</v>
      </c>
      <c r="F56" s="249"/>
      <c r="G56" s="250"/>
      <c r="H56" s="250"/>
      <c r="I56" s="240"/>
      <c r="J56" s="246">
        <f>'Qtr 2 Budget'!L56</f>
        <v>0</v>
      </c>
      <c r="K56" s="392"/>
      <c r="L56" s="247">
        <f t="shared" si="40"/>
        <v>0</v>
      </c>
      <c r="M56" s="393"/>
      <c r="N56" s="246">
        <f t="shared" si="41"/>
        <v>0</v>
      </c>
      <c r="O56" s="247">
        <f t="shared" si="42"/>
        <v>0</v>
      </c>
      <c r="P56" s="247">
        <f t="shared" si="43"/>
        <v>0</v>
      </c>
      <c r="Q56" s="240">
        <f t="shared" si="44"/>
        <v>0</v>
      </c>
      <c r="R56" s="251">
        <f>P56/$P$85</f>
        <v>0</v>
      </c>
      <c r="S56" s="251" t="str">
        <f t="shared" si="45"/>
        <v/>
      </c>
      <c r="T56" s="407"/>
    </row>
    <row r="57" spans="1:20">
      <c r="A57" s="243">
        <f t="shared" si="1"/>
        <v>47</v>
      </c>
      <c r="B57" s="244"/>
      <c r="C57" s="244"/>
      <c r="D57" s="231" t="s">
        <v>138</v>
      </c>
      <c r="E57" s="237"/>
      <c r="F57" s="249"/>
      <c r="G57" s="250"/>
      <c r="H57" s="250"/>
      <c r="I57" s="240"/>
      <c r="J57" s="249"/>
      <c r="K57" s="250"/>
      <c r="L57" s="250"/>
      <c r="M57" s="240"/>
      <c r="N57" s="249"/>
      <c r="O57" s="250"/>
      <c r="P57" s="250"/>
      <c r="Q57" s="240"/>
      <c r="R57" s="251"/>
      <c r="S57" s="251"/>
      <c r="T57" s="414"/>
    </row>
    <row r="58" spans="1:20">
      <c r="A58" s="243">
        <f t="shared" si="1"/>
        <v>48</v>
      </c>
      <c r="B58" s="244"/>
      <c r="C58" s="244"/>
      <c r="D58" s="231" t="s">
        <v>135</v>
      </c>
      <c r="E58" s="245" t="s">
        <v>63</v>
      </c>
      <c r="F58" s="249"/>
      <c r="G58" s="250"/>
      <c r="H58" s="250"/>
      <c r="I58" s="240"/>
      <c r="J58" s="246">
        <f>'Qtr 2 Budget'!L58</f>
        <v>750000</v>
      </c>
      <c r="K58" s="392"/>
      <c r="L58" s="247">
        <f t="shared" ref="L58:L79" si="46">SUM(J58:K58)</f>
        <v>750000</v>
      </c>
      <c r="M58" s="393"/>
      <c r="N58" s="246">
        <f t="shared" ref="N58:N79" si="47">F58+J58</f>
        <v>750000</v>
      </c>
      <c r="O58" s="247">
        <f t="shared" ref="O58:O79" si="48">K58+G58</f>
        <v>0</v>
      </c>
      <c r="P58" s="247">
        <f t="shared" ref="P58:P79" si="49">SUM(N58:O58)</f>
        <v>750000</v>
      </c>
      <c r="Q58" s="240">
        <f t="shared" ref="Q58:Q79" si="50">M58+I58</f>
        <v>0</v>
      </c>
      <c r="R58" s="251">
        <f t="shared" ref="R58:R65" si="51">P58/$P$85</f>
        <v>0.13723181271922619</v>
      </c>
      <c r="S58" s="251">
        <f t="shared" ref="S58:S65" si="52">IFERROR(Q58/P58,"")</f>
        <v>0</v>
      </c>
      <c r="T58" s="407"/>
    </row>
    <row r="59" spans="1:20">
      <c r="A59" s="243">
        <f t="shared" si="1"/>
        <v>49</v>
      </c>
      <c r="B59" s="244"/>
      <c r="C59" s="244"/>
      <c r="D59" s="231" t="s">
        <v>136</v>
      </c>
      <c r="E59" s="245">
        <v>4550</v>
      </c>
      <c r="F59" s="249"/>
      <c r="G59" s="250"/>
      <c r="H59" s="250"/>
      <c r="I59" s="240"/>
      <c r="J59" s="246">
        <f>'Qtr 2 Budget'!L59</f>
        <v>0</v>
      </c>
      <c r="K59" s="392"/>
      <c r="L59" s="247">
        <f t="shared" si="46"/>
        <v>0</v>
      </c>
      <c r="M59" s="393"/>
      <c r="N59" s="246">
        <f t="shared" si="47"/>
        <v>0</v>
      </c>
      <c r="O59" s="247">
        <f t="shared" si="48"/>
        <v>0</v>
      </c>
      <c r="P59" s="247">
        <f t="shared" si="49"/>
        <v>0</v>
      </c>
      <c r="Q59" s="240">
        <f t="shared" si="50"/>
        <v>0</v>
      </c>
      <c r="R59" s="251">
        <f t="shared" si="51"/>
        <v>0</v>
      </c>
      <c r="S59" s="251" t="str">
        <f t="shared" si="52"/>
        <v/>
      </c>
      <c r="T59" s="407"/>
    </row>
    <row r="60" spans="1:20">
      <c r="A60" s="243">
        <f t="shared" si="1"/>
        <v>50</v>
      </c>
      <c r="B60" s="244"/>
      <c r="C60" s="244"/>
      <c r="D60" s="231" t="s">
        <v>64</v>
      </c>
      <c r="E60" s="245" t="s">
        <v>65</v>
      </c>
      <c r="F60" s="249"/>
      <c r="G60" s="250"/>
      <c r="H60" s="250"/>
      <c r="I60" s="240"/>
      <c r="J60" s="246">
        <f>'Qtr 2 Budget'!L60</f>
        <v>0</v>
      </c>
      <c r="K60" s="392"/>
      <c r="L60" s="247">
        <f t="shared" si="46"/>
        <v>0</v>
      </c>
      <c r="M60" s="393"/>
      <c r="N60" s="246">
        <f t="shared" si="47"/>
        <v>0</v>
      </c>
      <c r="O60" s="247">
        <f t="shared" si="48"/>
        <v>0</v>
      </c>
      <c r="P60" s="247">
        <f t="shared" si="49"/>
        <v>0</v>
      </c>
      <c r="Q60" s="240">
        <f t="shared" si="50"/>
        <v>0</v>
      </c>
      <c r="R60" s="251">
        <f t="shared" si="51"/>
        <v>0</v>
      </c>
      <c r="S60" s="251" t="str">
        <f t="shared" si="52"/>
        <v/>
      </c>
      <c r="T60" s="407"/>
    </row>
    <row r="61" spans="1:20">
      <c r="A61" s="243">
        <f t="shared" si="1"/>
        <v>51</v>
      </c>
      <c r="B61" s="244"/>
      <c r="C61" s="244"/>
      <c r="D61" s="231" t="s">
        <v>142</v>
      </c>
      <c r="E61" s="245" t="s">
        <v>66</v>
      </c>
      <c r="F61" s="249"/>
      <c r="G61" s="250"/>
      <c r="H61" s="250"/>
      <c r="I61" s="240"/>
      <c r="J61" s="246">
        <f>'Qtr 2 Budget'!L61</f>
        <v>27778</v>
      </c>
      <c r="K61" s="392"/>
      <c r="L61" s="247">
        <f t="shared" si="46"/>
        <v>27778</v>
      </c>
      <c r="M61" s="393"/>
      <c r="N61" s="246">
        <f t="shared" si="47"/>
        <v>27778</v>
      </c>
      <c r="O61" s="247">
        <f t="shared" si="48"/>
        <v>0</v>
      </c>
      <c r="P61" s="247">
        <f t="shared" si="49"/>
        <v>27778</v>
      </c>
      <c r="Q61" s="240">
        <f t="shared" si="50"/>
        <v>0</v>
      </c>
      <c r="R61" s="251">
        <f t="shared" si="51"/>
        <v>5.0827003916195527E-3</v>
      </c>
      <c r="S61" s="251">
        <f t="shared" si="52"/>
        <v>0</v>
      </c>
      <c r="T61" s="407"/>
    </row>
    <row r="62" spans="1:20">
      <c r="A62" s="243">
        <f t="shared" si="1"/>
        <v>52</v>
      </c>
      <c r="B62" s="244"/>
      <c r="C62" s="244"/>
      <c r="D62" s="231" t="s">
        <v>151</v>
      </c>
      <c r="E62" s="245" t="s">
        <v>67</v>
      </c>
      <c r="F62" s="249"/>
      <c r="G62" s="250"/>
      <c r="H62" s="250"/>
      <c r="I62" s="240"/>
      <c r="J62" s="246">
        <f>'Qtr 2 Budget'!L62</f>
        <v>18932</v>
      </c>
      <c r="K62" s="392"/>
      <c r="L62" s="247">
        <f t="shared" si="46"/>
        <v>18932</v>
      </c>
      <c r="M62" s="393"/>
      <c r="N62" s="246">
        <f t="shared" si="47"/>
        <v>18932</v>
      </c>
      <c r="O62" s="247">
        <f t="shared" si="48"/>
        <v>0</v>
      </c>
      <c r="P62" s="247">
        <f t="shared" si="49"/>
        <v>18932</v>
      </c>
      <c r="Q62" s="240">
        <f t="shared" si="50"/>
        <v>0</v>
      </c>
      <c r="R62" s="251">
        <f t="shared" si="51"/>
        <v>3.4640969045338535E-3</v>
      </c>
      <c r="S62" s="251">
        <f t="shared" si="52"/>
        <v>0</v>
      </c>
      <c r="T62" s="407"/>
    </row>
    <row r="63" spans="1:20">
      <c r="A63" s="243">
        <f t="shared" si="1"/>
        <v>53</v>
      </c>
      <c r="B63" s="244"/>
      <c r="C63" s="244"/>
      <c r="D63" s="231" t="s">
        <v>143</v>
      </c>
      <c r="E63" s="245">
        <v>4559</v>
      </c>
      <c r="F63" s="249"/>
      <c r="G63" s="250"/>
      <c r="H63" s="250"/>
      <c r="I63" s="240"/>
      <c r="J63" s="246">
        <f>'Qtr 2 Budget'!L63</f>
        <v>0</v>
      </c>
      <c r="K63" s="392"/>
      <c r="L63" s="247">
        <f t="shared" si="46"/>
        <v>0</v>
      </c>
      <c r="M63" s="393"/>
      <c r="N63" s="246">
        <f t="shared" si="47"/>
        <v>0</v>
      </c>
      <c r="O63" s="247">
        <f t="shared" si="48"/>
        <v>0</v>
      </c>
      <c r="P63" s="247">
        <f t="shared" si="49"/>
        <v>0</v>
      </c>
      <c r="Q63" s="240">
        <f t="shared" si="50"/>
        <v>0</v>
      </c>
      <c r="R63" s="251">
        <f t="shared" si="51"/>
        <v>0</v>
      </c>
      <c r="S63" s="251" t="str">
        <f t="shared" si="52"/>
        <v/>
      </c>
      <c r="T63" s="407"/>
    </row>
    <row r="64" spans="1:20">
      <c r="A64" s="243">
        <f t="shared" si="1"/>
        <v>54</v>
      </c>
      <c r="B64" s="244"/>
      <c r="C64" s="244"/>
      <c r="D64" s="231" t="s">
        <v>152</v>
      </c>
      <c r="E64" s="245">
        <v>4553</v>
      </c>
      <c r="F64" s="249"/>
      <c r="G64" s="250"/>
      <c r="H64" s="250"/>
      <c r="I64" s="240"/>
      <c r="J64" s="246">
        <f>'Qtr 2 Budget'!L64</f>
        <v>0</v>
      </c>
      <c r="K64" s="392"/>
      <c r="L64" s="247">
        <f t="shared" si="46"/>
        <v>0</v>
      </c>
      <c r="M64" s="393"/>
      <c r="N64" s="246">
        <f t="shared" si="47"/>
        <v>0</v>
      </c>
      <c r="O64" s="247">
        <f t="shared" si="48"/>
        <v>0</v>
      </c>
      <c r="P64" s="247">
        <f t="shared" si="49"/>
        <v>0</v>
      </c>
      <c r="Q64" s="240">
        <f t="shared" si="50"/>
        <v>0</v>
      </c>
      <c r="R64" s="251">
        <f t="shared" si="51"/>
        <v>0</v>
      </c>
      <c r="S64" s="251" t="str">
        <f t="shared" si="52"/>
        <v/>
      </c>
      <c r="T64" s="407"/>
    </row>
    <row r="65" spans="1:20">
      <c r="A65" s="243">
        <f t="shared" si="1"/>
        <v>55</v>
      </c>
      <c r="B65" s="244"/>
      <c r="C65" s="244"/>
      <c r="D65" s="231" t="s">
        <v>141</v>
      </c>
      <c r="E65" s="245">
        <v>4559</v>
      </c>
      <c r="F65" s="249"/>
      <c r="G65" s="250"/>
      <c r="H65" s="250"/>
      <c r="I65" s="240"/>
      <c r="J65" s="246">
        <f>'Qtr 2 Budget'!L65</f>
        <v>0</v>
      </c>
      <c r="K65" s="392"/>
      <c r="L65" s="247">
        <f t="shared" si="46"/>
        <v>0</v>
      </c>
      <c r="M65" s="393"/>
      <c r="N65" s="246">
        <f t="shared" si="47"/>
        <v>0</v>
      </c>
      <c r="O65" s="247">
        <f t="shared" si="48"/>
        <v>0</v>
      </c>
      <c r="P65" s="247">
        <f t="shared" si="49"/>
        <v>0</v>
      </c>
      <c r="Q65" s="240">
        <f t="shared" si="50"/>
        <v>0</v>
      </c>
      <c r="R65" s="251">
        <f t="shared" si="51"/>
        <v>0</v>
      </c>
      <c r="S65" s="251" t="str">
        <f t="shared" si="52"/>
        <v/>
      </c>
      <c r="T65" s="407"/>
    </row>
    <row r="66" spans="1:20">
      <c r="A66" s="243">
        <f t="shared" si="1"/>
        <v>56</v>
      </c>
      <c r="B66" s="244"/>
      <c r="C66" s="244"/>
      <c r="D66" s="231" t="s">
        <v>189</v>
      </c>
      <c r="E66" s="245"/>
      <c r="F66" s="249"/>
      <c r="G66" s="250"/>
      <c r="H66" s="250"/>
      <c r="I66" s="240"/>
      <c r="J66" s="249"/>
      <c r="K66" s="250"/>
      <c r="L66" s="250"/>
      <c r="M66" s="240"/>
      <c r="N66" s="249"/>
      <c r="O66" s="250"/>
      <c r="P66" s="250"/>
      <c r="Q66" s="240"/>
      <c r="R66" s="251"/>
      <c r="S66" s="251"/>
      <c r="T66" s="414"/>
    </row>
    <row r="67" spans="1:20">
      <c r="A67" s="243">
        <f t="shared" si="1"/>
        <v>57</v>
      </c>
      <c r="B67" s="244"/>
      <c r="C67" s="244"/>
      <c r="D67" s="231" t="s">
        <v>153</v>
      </c>
      <c r="E67" s="245">
        <v>4590</v>
      </c>
      <c r="F67" s="249"/>
      <c r="G67" s="250"/>
      <c r="H67" s="250"/>
      <c r="I67" s="240"/>
      <c r="J67" s="246">
        <f>'Qtr 2 Budget'!L67</f>
        <v>0</v>
      </c>
      <c r="K67" s="392"/>
      <c r="L67" s="247">
        <f t="shared" si="46"/>
        <v>0</v>
      </c>
      <c r="M67" s="393"/>
      <c r="N67" s="246">
        <f t="shared" si="47"/>
        <v>0</v>
      </c>
      <c r="O67" s="247">
        <f t="shared" si="48"/>
        <v>0</v>
      </c>
      <c r="P67" s="247">
        <f t="shared" si="49"/>
        <v>0</v>
      </c>
      <c r="Q67" s="240">
        <f t="shared" si="50"/>
        <v>0</v>
      </c>
      <c r="R67" s="251">
        <f t="shared" ref="R67:R80" si="53">P67/$P$85</f>
        <v>0</v>
      </c>
      <c r="S67" s="251" t="str">
        <f t="shared" ref="S67:S79" si="54">IFERROR(Q67/P67,"")</f>
        <v/>
      </c>
      <c r="T67" s="407"/>
    </row>
    <row r="68" spans="1:20">
      <c r="A68" s="243">
        <f t="shared" si="1"/>
        <v>58</v>
      </c>
      <c r="B68" s="244"/>
      <c r="C68" s="244"/>
      <c r="D68" s="231" t="s">
        <v>154</v>
      </c>
      <c r="E68" s="245">
        <v>4590</v>
      </c>
      <c r="F68" s="249"/>
      <c r="G68" s="250"/>
      <c r="H68" s="250"/>
      <c r="I68" s="240"/>
      <c r="J68" s="246">
        <f>'Qtr 2 Budget'!L68</f>
        <v>0</v>
      </c>
      <c r="K68" s="392"/>
      <c r="L68" s="247">
        <f t="shared" si="46"/>
        <v>0</v>
      </c>
      <c r="M68" s="393"/>
      <c r="N68" s="246">
        <f t="shared" si="47"/>
        <v>0</v>
      </c>
      <c r="O68" s="247">
        <f t="shared" si="48"/>
        <v>0</v>
      </c>
      <c r="P68" s="247">
        <f t="shared" si="49"/>
        <v>0</v>
      </c>
      <c r="Q68" s="240">
        <f t="shared" si="50"/>
        <v>0</v>
      </c>
      <c r="R68" s="251">
        <f t="shared" si="53"/>
        <v>0</v>
      </c>
      <c r="S68" s="251" t="str">
        <f t="shared" si="54"/>
        <v/>
      </c>
      <c r="T68" s="407"/>
    </row>
    <row r="69" spans="1:20">
      <c r="A69" s="243">
        <f t="shared" si="1"/>
        <v>59</v>
      </c>
      <c r="B69" s="244"/>
      <c r="C69" s="244"/>
      <c r="D69" s="231" t="s">
        <v>155</v>
      </c>
      <c r="E69" s="245">
        <v>4590</v>
      </c>
      <c r="F69" s="249"/>
      <c r="G69" s="250"/>
      <c r="H69" s="250"/>
      <c r="I69" s="240"/>
      <c r="J69" s="246">
        <f>'Qtr 2 Budget'!L69</f>
        <v>0</v>
      </c>
      <c r="K69" s="392"/>
      <c r="L69" s="247">
        <f t="shared" si="46"/>
        <v>0</v>
      </c>
      <c r="M69" s="393"/>
      <c r="N69" s="246">
        <f t="shared" si="47"/>
        <v>0</v>
      </c>
      <c r="O69" s="247">
        <f t="shared" si="48"/>
        <v>0</v>
      </c>
      <c r="P69" s="247">
        <f t="shared" si="49"/>
        <v>0</v>
      </c>
      <c r="Q69" s="240">
        <f t="shared" si="50"/>
        <v>0</v>
      </c>
      <c r="R69" s="251">
        <f t="shared" si="53"/>
        <v>0</v>
      </c>
      <c r="S69" s="251" t="str">
        <f t="shared" si="54"/>
        <v/>
      </c>
      <c r="T69" s="407"/>
    </row>
    <row r="70" spans="1:20">
      <c r="A70" s="243">
        <f t="shared" si="1"/>
        <v>60</v>
      </c>
      <c r="B70" s="244"/>
      <c r="C70" s="244"/>
      <c r="D70" s="231" t="s">
        <v>156</v>
      </c>
      <c r="E70" s="245">
        <v>4590</v>
      </c>
      <c r="F70" s="249"/>
      <c r="G70" s="250"/>
      <c r="H70" s="250"/>
      <c r="I70" s="240"/>
      <c r="J70" s="246">
        <f>'Qtr 2 Budget'!L70</f>
        <v>600000</v>
      </c>
      <c r="K70" s="392"/>
      <c r="L70" s="247">
        <f t="shared" si="46"/>
        <v>600000</v>
      </c>
      <c r="M70" s="393"/>
      <c r="N70" s="246">
        <f t="shared" si="47"/>
        <v>600000</v>
      </c>
      <c r="O70" s="247">
        <f t="shared" si="48"/>
        <v>0</v>
      </c>
      <c r="P70" s="247">
        <f t="shared" si="49"/>
        <v>600000</v>
      </c>
      <c r="Q70" s="240">
        <f t="shared" si="50"/>
        <v>0</v>
      </c>
      <c r="R70" s="251">
        <f t="shared" si="53"/>
        <v>0.10978545017538094</v>
      </c>
      <c r="S70" s="251">
        <f t="shared" si="54"/>
        <v>0</v>
      </c>
      <c r="T70" s="407"/>
    </row>
    <row r="71" spans="1:20">
      <c r="A71" s="243">
        <f t="shared" si="1"/>
        <v>61</v>
      </c>
      <c r="B71" s="244"/>
      <c r="C71" s="244"/>
      <c r="D71" s="231" t="s">
        <v>157</v>
      </c>
      <c r="E71" s="245">
        <v>4590</v>
      </c>
      <c r="F71" s="249"/>
      <c r="G71" s="250"/>
      <c r="H71" s="250"/>
      <c r="I71" s="240"/>
      <c r="J71" s="246">
        <f>'Qtr 2 Budget'!L71</f>
        <v>0</v>
      </c>
      <c r="K71" s="392"/>
      <c r="L71" s="247">
        <f t="shared" si="46"/>
        <v>0</v>
      </c>
      <c r="M71" s="393"/>
      <c r="N71" s="246">
        <f t="shared" si="47"/>
        <v>0</v>
      </c>
      <c r="O71" s="247">
        <f t="shared" si="48"/>
        <v>0</v>
      </c>
      <c r="P71" s="247">
        <f t="shared" si="49"/>
        <v>0</v>
      </c>
      <c r="Q71" s="240">
        <f t="shared" si="50"/>
        <v>0</v>
      </c>
      <c r="R71" s="251">
        <f t="shared" si="53"/>
        <v>0</v>
      </c>
      <c r="S71" s="251" t="str">
        <f t="shared" si="54"/>
        <v/>
      </c>
      <c r="T71" s="407"/>
    </row>
    <row r="72" spans="1:20">
      <c r="A72" s="243">
        <f t="shared" si="1"/>
        <v>62</v>
      </c>
      <c r="B72" s="244"/>
      <c r="C72" s="244"/>
      <c r="D72" s="231" t="s">
        <v>211</v>
      </c>
      <c r="E72" s="245">
        <v>4590</v>
      </c>
      <c r="F72" s="249"/>
      <c r="G72" s="250"/>
      <c r="H72" s="250"/>
      <c r="I72" s="240"/>
      <c r="J72" s="246">
        <f>'Qtr 2 Budget'!L72</f>
        <v>0</v>
      </c>
      <c r="K72" s="392"/>
      <c r="L72" s="247">
        <f t="shared" si="46"/>
        <v>0</v>
      </c>
      <c r="M72" s="393"/>
      <c r="N72" s="246">
        <f t="shared" si="47"/>
        <v>0</v>
      </c>
      <c r="O72" s="247">
        <f t="shared" si="48"/>
        <v>0</v>
      </c>
      <c r="P72" s="247">
        <f t="shared" si="49"/>
        <v>0</v>
      </c>
      <c r="Q72" s="240">
        <f t="shared" si="50"/>
        <v>0</v>
      </c>
      <c r="R72" s="251">
        <f t="shared" si="53"/>
        <v>0</v>
      </c>
      <c r="S72" s="251" t="str">
        <f t="shared" si="54"/>
        <v/>
      </c>
      <c r="T72" s="407"/>
    </row>
    <row r="73" spans="1:20">
      <c r="A73" s="243">
        <f t="shared" si="1"/>
        <v>63</v>
      </c>
      <c r="B73" s="244"/>
      <c r="C73" s="244"/>
      <c r="D73" s="231" t="s">
        <v>113</v>
      </c>
      <c r="E73" s="245">
        <v>4580</v>
      </c>
      <c r="F73" s="249"/>
      <c r="G73" s="250"/>
      <c r="H73" s="250"/>
      <c r="I73" s="240"/>
      <c r="J73" s="246">
        <f>'Qtr 2 Budget'!L73</f>
        <v>0</v>
      </c>
      <c r="K73" s="392"/>
      <c r="L73" s="247">
        <f t="shared" si="46"/>
        <v>0</v>
      </c>
      <c r="M73" s="393"/>
      <c r="N73" s="246">
        <f t="shared" si="47"/>
        <v>0</v>
      </c>
      <c r="O73" s="247">
        <f t="shared" si="48"/>
        <v>0</v>
      </c>
      <c r="P73" s="247">
        <f t="shared" si="49"/>
        <v>0</v>
      </c>
      <c r="Q73" s="240">
        <f t="shared" si="50"/>
        <v>0</v>
      </c>
      <c r="R73" s="251">
        <f t="shared" si="53"/>
        <v>0</v>
      </c>
      <c r="S73" s="251" t="str">
        <f t="shared" si="54"/>
        <v/>
      </c>
      <c r="T73" s="407"/>
    </row>
    <row r="74" spans="1:20">
      <c r="A74" s="243">
        <f t="shared" si="1"/>
        <v>64</v>
      </c>
      <c r="B74" s="244"/>
      <c r="C74" s="244"/>
      <c r="D74" s="231" t="s">
        <v>190</v>
      </c>
      <c r="E74" s="245" t="s">
        <v>68</v>
      </c>
      <c r="F74" s="249"/>
      <c r="G74" s="250"/>
      <c r="H74" s="250"/>
      <c r="I74" s="240"/>
      <c r="J74" s="246">
        <f>'Qtr 2 Budget'!L74</f>
        <v>0</v>
      </c>
      <c r="K74" s="392"/>
      <c r="L74" s="247">
        <f t="shared" si="46"/>
        <v>0</v>
      </c>
      <c r="M74" s="393"/>
      <c r="N74" s="246">
        <f t="shared" si="47"/>
        <v>0</v>
      </c>
      <c r="O74" s="247">
        <f t="shared" si="48"/>
        <v>0</v>
      </c>
      <c r="P74" s="247">
        <f t="shared" si="49"/>
        <v>0</v>
      </c>
      <c r="Q74" s="240">
        <f t="shared" si="50"/>
        <v>0</v>
      </c>
      <c r="R74" s="251">
        <f t="shared" si="53"/>
        <v>0</v>
      </c>
      <c r="S74" s="251" t="str">
        <f t="shared" si="54"/>
        <v/>
      </c>
      <c r="T74" s="407"/>
    </row>
    <row r="75" spans="1:20">
      <c r="A75" s="243">
        <f t="shared" si="1"/>
        <v>65</v>
      </c>
      <c r="B75" s="244"/>
      <c r="C75" s="244"/>
      <c r="D75" s="231" t="s">
        <v>139</v>
      </c>
      <c r="E75" s="245">
        <v>4590</v>
      </c>
      <c r="F75" s="249"/>
      <c r="G75" s="250"/>
      <c r="H75" s="250"/>
      <c r="I75" s="240"/>
      <c r="J75" s="246">
        <f>'Qtr 2 Budget'!L75</f>
        <v>0</v>
      </c>
      <c r="K75" s="392"/>
      <c r="L75" s="247">
        <f t="shared" si="46"/>
        <v>0</v>
      </c>
      <c r="M75" s="393"/>
      <c r="N75" s="246">
        <f t="shared" si="47"/>
        <v>0</v>
      </c>
      <c r="O75" s="247">
        <f t="shared" si="48"/>
        <v>0</v>
      </c>
      <c r="P75" s="247">
        <f t="shared" si="49"/>
        <v>0</v>
      </c>
      <c r="Q75" s="240">
        <f t="shared" si="50"/>
        <v>0</v>
      </c>
      <c r="R75" s="251">
        <f t="shared" si="53"/>
        <v>0</v>
      </c>
      <c r="S75" s="251" t="str">
        <f t="shared" si="54"/>
        <v/>
      </c>
      <c r="T75" s="407"/>
    </row>
    <row r="76" spans="1:20">
      <c r="A76" s="243">
        <f t="shared" si="1"/>
        <v>66</v>
      </c>
      <c r="B76" s="396"/>
      <c r="C76" s="396" t="s">
        <v>181</v>
      </c>
      <c r="D76" s="394"/>
      <c r="E76" s="395"/>
      <c r="F76" s="246">
        <f>'Qtr 2 Budget'!H76</f>
        <v>0</v>
      </c>
      <c r="G76" s="392"/>
      <c r="H76" s="247">
        <f t="shared" si="21"/>
        <v>0</v>
      </c>
      <c r="I76" s="393"/>
      <c r="J76" s="246">
        <f>'Qtr 2 Budget'!L76</f>
        <v>0</v>
      </c>
      <c r="K76" s="392"/>
      <c r="L76" s="247">
        <f t="shared" si="46"/>
        <v>0</v>
      </c>
      <c r="M76" s="393"/>
      <c r="N76" s="246">
        <f t="shared" si="47"/>
        <v>0</v>
      </c>
      <c r="O76" s="247">
        <f t="shared" si="48"/>
        <v>0</v>
      </c>
      <c r="P76" s="247">
        <f t="shared" si="49"/>
        <v>0</v>
      </c>
      <c r="Q76" s="240">
        <f t="shared" si="50"/>
        <v>0</v>
      </c>
      <c r="R76" s="251">
        <f t="shared" si="53"/>
        <v>0</v>
      </c>
      <c r="S76" s="251" t="str">
        <f t="shared" si="54"/>
        <v/>
      </c>
      <c r="T76" s="407"/>
    </row>
    <row r="77" spans="1:20">
      <c r="A77" s="243">
        <f t="shared" si="1"/>
        <v>67</v>
      </c>
      <c r="B77" s="396"/>
      <c r="C77" s="396" t="s">
        <v>181</v>
      </c>
      <c r="D77" s="394"/>
      <c r="E77" s="395"/>
      <c r="F77" s="246">
        <f>'Qtr 2 Budget'!H77</f>
        <v>0</v>
      </c>
      <c r="G77" s="392"/>
      <c r="H77" s="247">
        <f t="shared" si="21"/>
        <v>0</v>
      </c>
      <c r="I77" s="393"/>
      <c r="J77" s="246">
        <f>'Qtr 2 Budget'!L77</f>
        <v>0</v>
      </c>
      <c r="K77" s="392"/>
      <c r="L77" s="247">
        <f t="shared" si="46"/>
        <v>0</v>
      </c>
      <c r="M77" s="393"/>
      <c r="N77" s="246">
        <f t="shared" si="47"/>
        <v>0</v>
      </c>
      <c r="O77" s="247">
        <f t="shared" si="48"/>
        <v>0</v>
      </c>
      <c r="P77" s="247">
        <f t="shared" si="49"/>
        <v>0</v>
      </c>
      <c r="Q77" s="240">
        <f t="shared" si="50"/>
        <v>0</v>
      </c>
      <c r="R77" s="251">
        <f t="shared" si="53"/>
        <v>0</v>
      </c>
      <c r="S77" s="251" t="str">
        <f t="shared" si="54"/>
        <v/>
      </c>
      <c r="T77" s="407"/>
    </row>
    <row r="78" spans="1:20" ht="14.25" customHeight="1">
      <c r="A78" s="243">
        <f t="shared" ref="A78:A141" si="55">A77+1</f>
        <v>68</v>
      </c>
      <c r="B78" s="396"/>
      <c r="C78" s="396" t="s">
        <v>181</v>
      </c>
      <c r="D78" s="394"/>
      <c r="E78" s="395"/>
      <c r="F78" s="246">
        <f>'Qtr 2 Budget'!H78</f>
        <v>0</v>
      </c>
      <c r="G78" s="392"/>
      <c r="H78" s="247">
        <f t="shared" si="21"/>
        <v>0</v>
      </c>
      <c r="I78" s="393"/>
      <c r="J78" s="246">
        <f>'Qtr 2 Budget'!L78</f>
        <v>0</v>
      </c>
      <c r="K78" s="392"/>
      <c r="L78" s="247">
        <f t="shared" si="46"/>
        <v>0</v>
      </c>
      <c r="M78" s="393"/>
      <c r="N78" s="246">
        <f t="shared" si="47"/>
        <v>0</v>
      </c>
      <c r="O78" s="247">
        <f t="shared" si="48"/>
        <v>0</v>
      </c>
      <c r="P78" s="247">
        <f t="shared" si="49"/>
        <v>0</v>
      </c>
      <c r="Q78" s="240">
        <f t="shared" si="50"/>
        <v>0</v>
      </c>
      <c r="R78" s="251">
        <f t="shared" si="53"/>
        <v>0</v>
      </c>
      <c r="S78" s="251" t="str">
        <f t="shared" si="54"/>
        <v/>
      </c>
      <c r="T78" s="407"/>
    </row>
    <row r="79" spans="1:20" ht="14.25" customHeight="1">
      <c r="A79" s="243">
        <f t="shared" si="55"/>
        <v>69</v>
      </c>
      <c r="B79" s="396"/>
      <c r="C79" s="396" t="s">
        <v>181</v>
      </c>
      <c r="D79" s="394"/>
      <c r="E79" s="397"/>
      <c r="F79" s="246">
        <f>'Qtr 2 Budget'!H79</f>
        <v>0</v>
      </c>
      <c r="G79" s="392"/>
      <c r="H79" s="247">
        <f t="shared" si="21"/>
        <v>0</v>
      </c>
      <c r="I79" s="393"/>
      <c r="J79" s="246">
        <f>'Qtr 2 Budget'!L79</f>
        <v>0</v>
      </c>
      <c r="K79" s="392"/>
      <c r="L79" s="247">
        <f t="shared" si="46"/>
        <v>0</v>
      </c>
      <c r="M79" s="393"/>
      <c r="N79" s="246">
        <f t="shared" si="47"/>
        <v>0</v>
      </c>
      <c r="O79" s="247">
        <f t="shared" si="48"/>
        <v>0</v>
      </c>
      <c r="P79" s="247">
        <f t="shared" si="49"/>
        <v>0</v>
      </c>
      <c r="Q79" s="240">
        <f t="shared" si="50"/>
        <v>0</v>
      </c>
      <c r="R79" s="251">
        <f t="shared" si="53"/>
        <v>0</v>
      </c>
      <c r="S79" s="251" t="str">
        <f t="shared" si="54"/>
        <v/>
      </c>
      <c r="T79" s="407"/>
    </row>
    <row r="80" spans="1:20">
      <c r="A80" s="256">
        <f t="shared" si="55"/>
        <v>70</v>
      </c>
      <c r="B80" s="257" t="s">
        <v>69</v>
      </c>
      <c r="C80" s="257"/>
      <c r="D80" s="258"/>
      <c r="E80" s="259"/>
      <c r="F80" s="260">
        <f>SUM(F43:F79)</f>
        <v>0</v>
      </c>
      <c r="G80" s="261">
        <f t="shared" ref="G80:Q80" si="56">SUM(G43:G79)</f>
        <v>0</v>
      </c>
      <c r="H80" s="261">
        <f t="shared" si="56"/>
        <v>0</v>
      </c>
      <c r="I80" s="262">
        <f t="shared" si="56"/>
        <v>0</v>
      </c>
      <c r="J80" s="260">
        <f t="shared" si="56"/>
        <v>1708582.583360787</v>
      </c>
      <c r="K80" s="261">
        <f t="shared" si="56"/>
        <v>0</v>
      </c>
      <c r="L80" s="261">
        <f t="shared" si="56"/>
        <v>1708582.583360787</v>
      </c>
      <c r="M80" s="262">
        <f t="shared" si="56"/>
        <v>0</v>
      </c>
      <c r="N80" s="260">
        <f t="shared" si="56"/>
        <v>1708582.583360787</v>
      </c>
      <c r="O80" s="261">
        <f t="shared" si="56"/>
        <v>0</v>
      </c>
      <c r="P80" s="261">
        <f t="shared" si="56"/>
        <v>1708582.583360787</v>
      </c>
      <c r="Q80" s="262">
        <f t="shared" si="56"/>
        <v>0</v>
      </c>
      <c r="R80" s="263">
        <f t="shared" si="53"/>
        <v>0.31262918012679891</v>
      </c>
      <c r="S80" s="263">
        <f>IFERROR(Q80/P80,"")</f>
        <v>0</v>
      </c>
      <c r="T80" s="408"/>
    </row>
    <row r="81" spans="1:20" ht="18" customHeight="1">
      <c r="A81" s="243">
        <f t="shared" si="55"/>
        <v>71</v>
      </c>
      <c r="B81" s="244"/>
      <c r="C81" s="244"/>
      <c r="D81" s="231"/>
      <c r="E81" s="266"/>
      <c r="F81" s="249"/>
      <c r="G81" s="250"/>
      <c r="H81" s="250"/>
      <c r="I81" s="240"/>
      <c r="J81" s="249"/>
      <c r="K81" s="250"/>
      <c r="L81" s="250"/>
      <c r="M81" s="240"/>
      <c r="N81" s="249"/>
      <c r="O81" s="250"/>
      <c r="P81" s="250"/>
      <c r="Q81" s="240"/>
      <c r="R81" s="251"/>
      <c r="S81" s="251"/>
      <c r="T81" s="414"/>
    </row>
    <row r="82" spans="1:20">
      <c r="A82" s="256">
        <f t="shared" si="55"/>
        <v>72</v>
      </c>
      <c r="B82" s="257" t="s">
        <v>192</v>
      </c>
      <c r="C82" s="257"/>
      <c r="D82" s="258"/>
      <c r="E82" s="266"/>
      <c r="F82" s="249"/>
      <c r="G82" s="250"/>
      <c r="H82" s="250"/>
      <c r="I82" s="240"/>
      <c r="J82" s="249"/>
      <c r="K82" s="250"/>
      <c r="L82" s="250"/>
      <c r="M82" s="240"/>
      <c r="N82" s="249"/>
      <c r="O82" s="250"/>
      <c r="P82" s="250"/>
      <c r="Q82" s="240"/>
      <c r="R82" s="251"/>
      <c r="S82" s="251"/>
      <c r="T82" s="414"/>
    </row>
    <row r="83" spans="1:20" ht="18" customHeight="1">
      <c r="A83" s="243">
        <f t="shared" si="55"/>
        <v>73</v>
      </c>
      <c r="B83" s="396"/>
      <c r="C83" s="396"/>
      <c r="D83" s="394"/>
      <c r="E83" s="395"/>
      <c r="F83" s="246">
        <f>'Qtr 2 Budget'!H83</f>
        <v>0</v>
      </c>
      <c r="G83" s="392"/>
      <c r="H83" s="247">
        <f t="shared" ref="H83:H84" si="57">SUM(F83:G83)</f>
        <v>0</v>
      </c>
      <c r="I83" s="393"/>
      <c r="J83" s="246">
        <f>'Qtr 2 Budget'!L83</f>
        <v>0</v>
      </c>
      <c r="K83" s="392"/>
      <c r="L83" s="247">
        <f t="shared" ref="L83:L84" si="58">SUM(J83:K83)</f>
        <v>0</v>
      </c>
      <c r="M83" s="393"/>
      <c r="N83" s="246">
        <f t="shared" ref="N83:N84" si="59">F83+J83</f>
        <v>0</v>
      </c>
      <c r="O83" s="247">
        <f t="shared" ref="O83:O84" si="60">K83+G83</f>
        <v>0</v>
      </c>
      <c r="P83" s="247">
        <f t="shared" ref="P83:P84" si="61">SUM(N83:O83)</f>
        <v>0</v>
      </c>
      <c r="Q83" s="240">
        <f t="shared" ref="Q83:Q84" si="62">M83+I83</f>
        <v>0</v>
      </c>
      <c r="R83" s="251">
        <f t="shared" ref="R83:R85" si="63">P83/$P$85</f>
        <v>0</v>
      </c>
      <c r="S83" s="251" t="str">
        <f t="shared" ref="S83:S85" si="64">IFERROR(Q83/P83,"")</f>
        <v/>
      </c>
      <c r="T83" s="407"/>
    </row>
    <row r="84" spans="1:20">
      <c r="A84" s="243">
        <f t="shared" si="55"/>
        <v>74</v>
      </c>
      <c r="B84" s="396"/>
      <c r="C84" s="396"/>
      <c r="D84" s="394"/>
      <c r="E84" s="397"/>
      <c r="F84" s="246">
        <f>'Qtr 2 Budget'!H84</f>
        <v>0</v>
      </c>
      <c r="G84" s="392"/>
      <c r="H84" s="247">
        <f t="shared" si="57"/>
        <v>0</v>
      </c>
      <c r="I84" s="393"/>
      <c r="J84" s="246">
        <f>'Qtr 2 Budget'!L84</f>
        <v>0</v>
      </c>
      <c r="K84" s="392"/>
      <c r="L84" s="247">
        <f t="shared" si="58"/>
        <v>0</v>
      </c>
      <c r="M84" s="393"/>
      <c r="N84" s="246">
        <f t="shared" si="59"/>
        <v>0</v>
      </c>
      <c r="O84" s="247">
        <f t="shared" si="60"/>
        <v>0</v>
      </c>
      <c r="P84" s="247">
        <f t="shared" si="61"/>
        <v>0</v>
      </c>
      <c r="Q84" s="240">
        <f t="shared" si="62"/>
        <v>0</v>
      </c>
      <c r="R84" s="251">
        <f t="shared" si="63"/>
        <v>0</v>
      </c>
      <c r="S84" s="251" t="str">
        <f t="shared" si="64"/>
        <v/>
      </c>
      <c r="T84" s="407"/>
    </row>
    <row r="85" spans="1:20" ht="16" thickBot="1">
      <c r="A85" s="219">
        <f t="shared" si="55"/>
        <v>75</v>
      </c>
      <c r="B85" s="189" t="s">
        <v>74</v>
      </c>
      <c r="C85" s="189"/>
      <c r="D85" s="190"/>
      <c r="E85" s="191"/>
      <c r="F85" s="222">
        <f t="shared" ref="F85:Q85" si="65">F22+F39+F80+F83+F84</f>
        <v>3751404.4965610709</v>
      </c>
      <c r="G85" s="225">
        <f t="shared" si="65"/>
        <v>0</v>
      </c>
      <c r="H85" s="225">
        <f t="shared" si="65"/>
        <v>3751404.4965610709</v>
      </c>
      <c r="I85" s="193">
        <f t="shared" si="65"/>
        <v>0</v>
      </c>
      <c r="J85" s="222">
        <f t="shared" si="65"/>
        <v>1713800.583360787</v>
      </c>
      <c r="K85" s="225">
        <f t="shared" si="65"/>
        <v>0</v>
      </c>
      <c r="L85" s="225">
        <f t="shared" si="65"/>
        <v>1713800.583360787</v>
      </c>
      <c r="M85" s="193">
        <f t="shared" si="65"/>
        <v>0</v>
      </c>
      <c r="N85" s="222">
        <f t="shared" si="65"/>
        <v>5465205.0799218584</v>
      </c>
      <c r="O85" s="225">
        <f t="shared" si="65"/>
        <v>0</v>
      </c>
      <c r="P85" s="225">
        <f t="shared" si="65"/>
        <v>5465205.0799218584</v>
      </c>
      <c r="Q85" s="193">
        <f t="shared" si="65"/>
        <v>0</v>
      </c>
      <c r="R85" s="194">
        <f t="shared" si="63"/>
        <v>1</v>
      </c>
      <c r="S85" s="194">
        <f t="shared" si="64"/>
        <v>0</v>
      </c>
      <c r="T85" s="415"/>
    </row>
    <row r="86" spans="1:20" ht="17.25" customHeight="1" thickTop="1">
      <c r="A86" s="227">
        <f t="shared" si="55"/>
        <v>76</v>
      </c>
      <c r="B86" s="864" t="s">
        <v>92</v>
      </c>
      <c r="C86" s="864"/>
      <c r="D86" s="865"/>
      <c r="E86" s="228"/>
      <c r="F86" s="276"/>
      <c r="G86" s="277"/>
      <c r="H86" s="277"/>
      <c r="I86" s="278"/>
      <c r="J86" s="276"/>
      <c r="K86" s="277"/>
      <c r="L86" s="277"/>
      <c r="M86" s="279"/>
      <c r="N86" s="276"/>
      <c r="O86" s="277"/>
      <c r="P86" s="277"/>
      <c r="Q86" s="280"/>
      <c r="R86" s="281"/>
      <c r="S86" s="281"/>
      <c r="T86" s="416"/>
    </row>
    <row r="87" spans="1:20" ht="22.5" customHeight="1">
      <c r="A87" s="234">
        <f t="shared" si="55"/>
        <v>77</v>
      </c>
      <c r="B87" s="235"/>
      <c r="C87" s="235"/>
      <c r="D87" s="236" t="s">
        <v>75</v>
      </c>
      <c r="E87" s="282"/>
      <c r="F87" s="283"/>
      <c r="G87" s="284"/>
      <c r="H87" s="284"/>
      <c r="I87" s="236"/>
      <c r="J87" s="283"/>
      <c r="K87" s="284"/>
      <c r="L87" s="284"/>
      <c r="M87" s="285"/>
      <c r="N87" s="283"/>
      <c r="O87" s="284"/>
      <c r="P87" s="284"/>
      <c r="Q87" s="286"/>
      <c r="R87" s="251"/>
      <c r="S87" s="251"/>
      <c r="T87" s="414"/>
    </row>
    <row r="88" spans="1:20" ht="17.25" customHeight="1">
      <c r="A88" s="243">
        <f t="shared" si="55"/>
        <v>78</v>
      </c>
      <c r="B88" s="287"/>
      <c r="C88" s="288" t="s">
        <v>30</v>
      </c>
      <c r="D88" s="231"/>
      <c r="E88" s="282"/>
      <c r="F88" s="283"/>
      <c r="G88" s="284"/>
      <c r="H88" s="284"/>
      <c r="I88" s="236"/>
      <c r="J88" s="283"/>
      <c r="K88" s="284"/>
      <c r="L88" s="284"/>
      <c r="M88" s="285"/>
      <c r="N88" s="283"/>
      <c r="O88" s="284"/>
      <c r="P88" s="284"/>
      <c r="Q88" s="289"/>
      <c r="R88" s="251"/>
      <c r="S88" s="251"/>
      <c r="T88" s="414"/>
    </row>
    <row r="89" spans="1:20" ht="15" customHeight="1">
      <c r="A89" s="243">
        <f t="shared" si="55"/>
        <v>79</v>
      </c>
      <c r="B89" s="287"/>
      <c r="C89" s="288"/>
      <c r="D89" s="231" t="s">
        <v>27</v>
      </c>
      <c r="E89" s="245">
        <v>111</v>
      </c>
      <c r="F89" s="290">
        <f>'Qtr 2 Budget'!H89</f>
        <v>90125.041200000007</v>
      </c>
      <c r="G89" s="398"/>
      <c r="H89" s="291">
        <f t="shared" ref="H89:H96" si="66">SUM(F89:G89)</f>
        <v>90125.041200000007</v>
      </c>
      <c r="I89" s="393"/>
      <c r="J89" s="290">
        <f>'Qtr 2 Budget'!L89</f>
        <v>0</v>
      </c>
      <c r="K89" s="398"/>
      <c r="L89" s="291">
        <f t="shared" ref="L89:L96" si="67">SUM(J89:K89)</f>
        <v>0</v>
      </c>
      <c r="M89" s="399"/>
      <c r="N89" s="290">
        <f t="shared" ref="N89:N96" si="68">F89+J89</f>
        <v>90125.041200000007</v>
      </c>
      <c r="O89" s="291">
        <f t="shared" ref="O89:O96" si="69">K89+G89</f>
        <v>0</v>
      </c>
      <c r="P89" s="291">
        <f t="shared" ref="P89:P96" si="70">SUM(N89:O89)</f>
        <v>90125.041200000007</v>
      </c>
      <c r="Q89" s="289">
        <f t="shared" ref="Q89:Q96" si="71">M89+I89</f>
        <v>0</v>
      </c>
      <c r="R89" s="251">
        <f>P89/$P$156</f>
        <v>1.7532849526131395E-2</v>
      </c>
      <c r="S89" s="251">
        <f t="shared" ref="S89:S97" si="72">IFERROR(Q89/P89,"")</f>
        <v>0</v>
      </c>
      <c r="T89" s="407"/>
    </row>
    <row r="90" spans="1:20" ht="15" customHeight="1">
      <c r="A90" s="243">
        <f t="shared" si="55"/>
        <v>80</v>
      </c>
      <c r="B90" s="287"/>
      <c r="C90" s="288"/>
      <c r="D90" s="231" t="s">
        <v>28</v>
      </c>
      <c r="E90" s="245">
        <v>111</v>
      </c>
      <c r="F90" s="290">
        <f>'Qtr 2 Budget'!H90</f>
        <v>0</v>
      </c>
      <c r="G90" s="398"/>
      <c r="H90" s="291">
        <f t="shared" si="66"/>
        <v>0</v>
      </c>
      <c r="I90" s="393"/>
      <c r="J90" s="290">
        <f>'Qtr 2 Budget'!L90</f>
        <v>0</v>
      </c>
      <c r="K90" s="398"/>
      <c r="L90" s="291">
        <f t="shared" si="67"/>
        <v>0</v>
      </c>
      <c r="M90" s="399"/>
      <c r="N90" s="290">
        <f t="shared" si="68"/>
        <v>0</v>
      </c>
      <c r="O90" s="291">
        <f t="shared" si="69"/>
        <v>0</v>
      </c>
      <c r="P90" s="291">
        <f t="shared" si="70"/>
        <v>0</v>
      </c>
      <c r="Q90" s="289">
        <f t="shared" si="71"/>
        <v>0</v>
      </c>
      <c r="R90" s="251">
        <f t="shared" ref="R90:R97" si="73">P90/$P$156</f>
        <v>0</v>
      </c>
      <c r="S90" s="251" t="str">
        <f t="shared" si="72"/>
        <v/>
      </c>
      <c r="T90" s="407"/>
    </row>
    <row r="91" spans="1:20" ht="15" customHeight="1">
      <c r="A91" s="243">
        <f t="shared" si="55"/>
        <v>81</v>
      </c>
      <c r="B91" s="287"/>
      <c r="C91" s="288"/>
      <c r="D91" s="231" t="s">
        <v>196</v>
      </c>
      <c r="E91" s="245">
        <v>111</v>
      </c>
      <c r="F91" s="290">
        <f>'Qtr 2 Budget'!H91</f>
        <v>157301</v>
      </c>
      <c r="G91" s="398"/>
      <c r="H91" s="291">
        <f t="shared" si="66"/>
        <v>157301</v>
      </c>
      <c r="I91" s="393"/>
      <c r="J91" s="290">
        <f>'Qtr 2 Budget'!L91</f>
        <v>328815</v>
      </c>
      <c r="K91" s="398"/>
      <c r="L91" s="291">
        <f t="shared" si="67"/>
        <v>328815</v>
      </c>
      <c r="M91" s="399"/>
      <c r="N91" s="290">
        <f t="shared" si="68"/>
        <v>486116</v>
      </c>
      <c r="O91" s="291">
        <f t="shared" si="69"/>
        <v>0</v>
      </c>
      <c r="P91" s="291">
        <f t="shared" si="70"/>
        <v>486116</v>
      </c>
      <c r="Q91" s="289">
        <f t="shared" si="71"/>
        <v>0</v>
      </c>
      <c r="R91" s="251">
        <f t="shared" si="73"/>
        <v>9.4568596771358676E-2</v>
      </c>
      <c r="S91" s="251">
        <f t="shared" si="72"/>
        <v>0</v>
      </c>
      <c r="T91" s="407"/>
    </row>
    <row r="92" spans="1:20" ht="15" customHeight="1">
      <c r="A92" s="243">
        <f t="shared" si="55"/>
        <v>82</v>
      </c>
      <c r="B92" s="287"/>
      <c r="C92" s="244" t="s">
        <v>5</v>
      </c>
      <c r="D92" s="231"/>
      <c r="E92" s="245">
        <v>112</v>
      </c>
      <c r="F92" s="290">
        <f>'Qtr 2 Budget'!H92</f>
        <v>680606</v>
      </c>
      <c r="G92" s="398"/>
      <c r="H92" s="291">
        <f t="shared" si="66"/>
        <v>680606</v>
      </c>
      <c r="I92" s="393"/>
      <c r="J92" s="290">
        <f>'Qtr 2 Budget'!L92</f>
        <v>796350</v>
      </c>
      <c r="K92" s="398"/>
      <c r="L92" s="291">
        <f t="shared" si="67"/>
        <v>796350</v>
      </c>
      <c r="M92" s="399"/>
      <c r="N92" s="290">
        <f t="shared" si="68"/>
        <v>1476956</v>
      </c>
      <c r="O92" s="291">
        <f t="shared" si="69"/>
        <v>0</v>
      </c>
      <c r="P92" s="291">
        <f t="shared" si="70"/>
        <v>1476956</v>
      </c>
      <c r="Q92" s="289">
        <f t="shared" si="71"/>
        <v>0</v>
      </c>
      <c r="R92" s="251">
        <f t="shared" si="73"/>
        <v>0.28732577494474332</v>
      </c>
      <c r="S92" s="251">
        <f t="shared" si="72"/>
        <v>0</v>
      </c>
      <c r="T92" s="407"/>
    </row>
    <row r="93" spans="1:20" ht="15" customHeight="1">
      <c r="A93" s="243">
        <f t="shared" si="55"/>
        <v>83</v>
      </c>
      <c r="B93" s="244"/>
      <c r="C93" s="244" t="s">
        <v>29</v>
      </c>
      <c r="D93" s="231"/>
      <c r="E93" s="245">
        <v>113</v>
      </c>
      <c r="F93" s="290">
        <f>'Qtr 2 Budget'!H93</f>
        <v>0</v>
      </c>
      <c r="G93" s="398"/>
      <c r="H93" s="291">
        <f t="shared" si="66"/>
        <v>0</v>
      </c>
      <c r="I93" s="393"/>
      <c r="J93" s="290">
        <f>'Qtr 2 Budget'!L93</f>
        <v>55336</v>
      </c>
      <c r="K93" s="398"/>
      <c r="L93" s="291">
        <f t="shared" si="67"/>
        <v>55336</v>
      </c>
      <c r="M93" s="399"/>
      <c r="N93" s="290">
        <f t="shared" si="68"/>
        <v>55336</v>
      </c>
      <c r="O93" s="291">
        <f t="shared" si="69"/>
        <v>0</v>
      </c>
      <c r="P93" s="291">
        <f t="shared" si="70"/>
        <v>55336</v>
      </c>
      <c r="Q93" s="289">
        <f t="shared" si="71"/>
        <v>0</v>
      </c>
      <c r="R93" s="251">
        <f t="shared" si="73"/>
        <v>1.0765018783458894E-2</v>
      </c>
      <c r="S93" s="251">
        <f t="shared" si="72"/>
        <v>0</v>
      </c>
      <c r="T93" s="407"/>
    </row>
    <row r="94" spans="1:20" ht="15" customHeight="1">
      <c r="A94" s="243">
        <f t="shared" si="55"/>
        <v>84</v>
      </c>
      <c r="B94" s="244"/>
      <c r="C94" s="244" t="s">
        <v>31</v>
      </c>
      <c r="D94" s="231"/>
      <c r="E94" s="245">
        <v>114</v>
      </c>
      <c r="F94" s="290">
        <f>'Qtr 2 Budget'!H94</f>
        <v>155222</v>
      </c>
      <c r="G94" s="398"/>
      <c r="H94" s="291">
        <f t="shared" si="66"/>
        <v>155222</v>
      </c>
      <c r="I94" s="393"/>
      <c r="J94" s="290">
        <f>'Qtr 2 Budget'!L94</f>
        <v>0</v>
      </c>
      <c r="K94" s="398"/>
      <c r="L94" s="291">
        <f t="shared" si="67"/>
        <v>0</v>
      </c>
      <c r="M94" s="399"/>
      <c r="N94" s="290">
        <f t="shared" si="68"/>
        <v>155222</v>
      </c>
      <c r="O94" s="291">
        <f t="shared" si="69"/>
        <v>0</v>
      </c>
      <c r="P94" s="291">
        <f t="shared" si="70"/>
        <v>155222</v>
      </c>
      <c r="Q94" s="289">
        <f t="shared" si="71"/>
        <v>0</v>
      </c>
      <c r="R94" s="251">
        <f t="shared" si="73"/>
        <v>3.0196757004591162E-2</v>
      </c>
      <c r="S94" s="251">
        <f t="shared" si="72"/>
        <v>0</v>
      </c>
      <c r="T94" s="407"/>
    </row>
    <row r="95" spans="1:20" ht="15" customHeight="1">
      <c r="A95" s="243">
        <f t="shared" si="55"/>
        <v>85</v>
      </c>
      <c r="B95" s="244"/>
      <c r="C95" s="244" t="s">
        <v>34</v>
      </c>
      <c r="D95" s="231"/>
      <c r="E95" s="245">
        <v>116</v>
      </c>
      <c r="F95" s="290">
        <f>'Qtr 2 Budget'!H95</f>
        <v>0</v>
      </c>
      <c r="G95" s="398"/>
      <c r="H95" s="291">
        <f t="shared" si="66"/>
        <v>0</v>
      </c>
      <c r="I95" s="393"/>
      <c r="J95" s="290">
        <f>'Qtr 2 Budget'!L95</f>
        <v>0</v>
      </c>
      <c r="K95" s="398"/>
      <c r="L95" s="291">
        <f t="shared" si="67"/>
        <v>0</v>
      </c>
      <c r="M95" s="399"/>
      <c r="N95" s="290">
        <f t="shared" si="68"/>
        <v>0</v>
      </c>
      <c r="O95" s="291">
        <f t="shared" si="69"/>
        <v>0</v>
      </c>
      <c r="P95" s="291">
        <f t="shared" si="70"/>
        <v>0</v>
      </c>
      <c r="Q95" s="289">
        <f t="shared" si="71"/>
        <v>0</v>
      </c>
      <c r="R95" s="251">
        <f t="shared" si="73"/>
        <v>0</v>
      </c>
      <c r="S95" s="251" t="str">
        <f t="shared" si="72"/>
        <v/>
      </c>
      <c r="T95" s="407"/>
    </row>
    <row r="96" spans="1:20" ht="15" customHeight="1">
      <c r="A96" s="243">
        <f t="shared" si="55"/>
        <v>86</v>
      </c>
      <c r="B96" s="244"/>
      <c r="C96" s="288" t="s">
        <v>197</v>
      </c>
      <c r="D96" s="231"/>
      <c r="E96" s="245" t="s">
        <v>95</v>
      </c>
      <c r="F96" s="290">
        <f>'Qtr 2 Budget'!H96</f>
        <v>35000</v>
      </c>
      <c r="G96" s="398"/>
      <c r="H96" s="291">
        <f t="shared" si="66"/>
        <v>35000</v>
      </c>
      <c r="I96" s="393"/>
      <c r="J96" s="290">
        <f>'Qtr 2 Budget'!L96</f>
        <v>88300</v>
      </c>
      <c r="K96" s="398"/>
      <c r="L96" s="291">
        <f t="shared" si="67"/>
        <v>88300</v>
      </c>
      <c r="M96" s="399"/>
      <c r="N96" s="290">
        <f t="shared" si="68"/>
        <v>123300</v>
      </c>
      <c r="O96" s="291">
        <f t="shared" si="69"/>
        <v>0</v>
      </c>
      <c r="P96" s="291">
        <f t="shared" si="70"/>
        <v>123300</v>
      </c>
      <c r="Q96" s="289">
        <f t="shared" si="71"/>
        <v>0</v>
      </c>
      <c r="R96" s="251">
        <f t="shared" si="73"/>
        <v>2.3986678039621255E-2</v>
      </c>
      <c r="S96" s="251">
        <f t="shared" si="72"/>
        <v>0</v>
      </c>
      <c r="T96" s="407"/>
    </row>
    <row r="97" spans="1:20" ht="15" customHeight="1">
      <c r="A97" s="256">
        <f t="shared" si="55"/>
        <v>87</v>
      </c>
      <c r="B97" s="257"/>
      <c r="C97" s="257"/>
      <c r="D97" s="292" t="s">
        <v>76</v>
      </c>
      <c r="E97" s="293" t="s">
        <v>6</v>
      </c>
      <c r="F97" s="294">
        <f>SUM(F89:F96)</f>
        <v>1118254.0411999999</v>
      </c>
      <c r="G97" s="295">
        <f t="shared" ref="G97:Q97" si="74">SUM(G89:G96)</f>
        <v>0</v>
      </c>
      <c r="H97" s="295">
        <f t="shared" si="74"/>
        <v>1118254.0411999999</v>
      </c>
      <c r="I97" s="296">
        <f t="shared" si="74"/>
        <v>0</v>
      </c>
      <c r="J97" s="294">
        <f t="shared" si="74"/>
        <v>1268801</v>
      </c>
      <c r="K97" s="295">
        <f t="shared" si="74"/>
        <v>0</v>
      </c>
      <c r="L97" s="295">
        <f t="shared" si="74"/>
        <v>1268801</v>
      </c>
      <c r="M97" s="296">
        <f t="shared" si="74"/>
        <v>0</v>
      </c>
      <c r="N97" s="294">
        <f t="shared" si="74"/>
        <v>2387055.0411999999</v>
      </c>
      <c r="O97" s="295">
        <f t="shared" si="74"/>
        <v>0</v>
      </c>
      <c r="P97" s="295">
        <f t="shared" si="74"/>
        <v>2387055.0411999999</v>
      </c>
      <c r="Q97" s="297">
        <f t="shared" si="74"/>
        <v>0</v>
      </c>
      <c r="R97" s="263">
        <f t="shared" si="73"/>
        <v>0.46437567506990468</v>
      </c>
      <c r="S97" s="263">
        <f t="shared" si="72"/>
        <v>0</v>
      </c>
      <c r="T97" s="408"/>
    </row>
    <row r="98" spans="1:20" ht="17.25" customHeight="1">
      <c r="A98" s="234">
        <f t="shared" si="55"/>
        <v>88</v>
      </c>
      <c r="B98" s="235" t="s">
        <v>77</v>
      </c>
      <c r="C98" s="298"/>
      <c r="D98" s="236"/>
      <c r="E98" s="237"/>
      <c r="F98" s="299"/>
      <c r="G98" s="300"/>
      <c r="H98" s="300"/>
      <c r="I98" s="240"/>
      <c r="J98" s="299"/>
      <c r="K98" s="300"/>
      <c r="L98" s="300"/>
      <c r="M98" s="301"/>
      <c r="N98" s="299"/>
      <c r="O98" s="300"/>
      <c r="P98" s="300"/>
      <c r="Q98" s="289"/>
      <c r="R98" s="251"/>
      <c r="S98" s="251"/>
      <c r="T98" s="414"/>
    </row>
    <row r="99" spans="1:20" ht="17.25" customHeight="1">
      <c r="A99" s="243">
        <f t="shared" si="55"/>
        <v>89</v>
      </c>
      <c r="B99" s="244"/>
      <c r="C99" s="244" t="s">
        <v>32</v>
      </c>
      <c r="D99" s="231"/>
      <c r="E99" s="245">
        <v>210</v>
      </c>
      <c r="F99" s="290">
        <f>'Qtr 2 Budget'!H99</f>
        <v>149296.84375</v>
      </c>
      <c r="G99" s="398"/>
      <c r="H99" s="291">
        <f t="shared" ref="H99:H105" si="75">SUM(F99:G99)</f>
        <v>149296.84375</v>
      </c>
      <c r="I99" s="393"/>
      <c r="J99" s="290">
        <f>'Qtr 2 Budget'!L99</f>
        <v>25000</v>
      </c>
      <c r="K99" s="398"/>
      <c r="L99" s="291">
        <f t="shared" ref="L99:L105" si="76">SUM(J99:K99)</f>
        <v>25000</v>
      </c>
      <c r="M99" s="399"/>
      <c r="N99" s="290">
        <f t="shared" ref="N99:N105" si="77">F99+J99</f>
        <v>174296.84375</v>
      </c>
      <c r="O99" s="291">
        <f t="shared" ref="O99:O105" si="78">K99+G99</f>
        <v>0</v>
      </c>
      <c r="P99" s="291">
        <f t="shared" ref="P99:P105" si="79">SUM(N99:O99)</f>
        <v>174296.84375</v>
      </c>
      <c r="Q99" s="289">
        <f t="shared" ref="Q99:Q105" si="80">M99+I99</f>
        <v>0</v>
      </c>
      <c r="R99" s="251">
        <f t="shared" ref="R99:R106" si="81">P99/$P$156</f>
        <v>3.3907561024764166E-2</v>
      </c>
      <c r="S99" s="251">
        <f t="shared" ref="S99:S106" si="82">IFERROR(Q99/P99,"")</f>
        <v>0</v>
      </c>
      <c r="T99" s="407"/>
    </row>
    <row r="100" spans="1:20" ht="15" customHeight="1">
      <c r="A100" s="243">
        <f t="shared" si="55"/>
        <v>90</v>
      </c>
      <c r="B100" s="244"/>
      <c r="C100" s="244" t="s">
        <v>7</v>
      </c>
      <c r="D100" s="231"/>
      <c r="E100" s="245">
        <v>220</v>
      </c>
      <c r="F100" s="290">
        <f>'Qtr 2 Budget'!H100</f>
        <v>112997.41255439998</v>
      </c>
      <c r="G100" s="398"/>
      <c r="H100" s="291">
        <f t="shared" si="75"/>
        <v>112997.41255439998</v>
      </c>
      <c r="I100" s="393"/>
      <c r="J100" s="290">
        <f>'Qtr 2 Budget'!L100</f>
        <v>35000</v>
      </c>
      <c r="K100" s="398"/>
      <c r="L100" s="291">
        <f t="shared" si="76"/>
        <v>35000</v>
      </c>
      <c r="M100" s="399"/>
      <c r="N100" s="290">
        <f t="shared" si="77"/>
        <v>147997.41255439998</v>
      </c>
      <c r="O100" s="291">
        <f t="shared" si="78"/>
        <v>0</v>
      </c>
      <c r="P100" s="291">
        <f t="shared" si="79"/>
        <v>147997.41255439998</v>
      </c>
      <c r="Q100" s="289">
        <f t="shared" si="80"/>
        <v>0</v>
      </c>
      <c r="R100" s="251">
        <f t="shared" si="81"/>
        <v>2.8791291854334086E-2</v>
      </c>
      <c r="S100" s="251">
        <f t="shared" si="82"/>
        <v>0</v>
      </c>
      <c r="T100" s="407"/>
    </row>
    <row r="101" spans="1:20" ht="15" customHeight="1">
      <c r="A101" s="243">
        <f t="shared" si="55"/>
        <v>91</v>
      </c>
      <c r="B101" s="244"/>
      <c r="C101" s="244" t="s">
        <v>23</v>
      </c>
      <c r="D101" s="231"/>
      <c r="E101" s="245">
        <v>225</v>
      </c>
      <c r="F101" s="290">
        <f>'Qtr 2 Budget'!H101</f>
        <v>19612.298097399995</v>
      </c>
      <c r="G101" s="398"/>
      <c r="H101" s="291">
        <f t="shared" si="75"/>
        <v>19612.298097399995</v>
      </c>
      <c r="I101" s="393"/>
      <c r="J101" s="290">
        <f>'Qtr 2 Budget'!L101</f>
        <v>15000</v>
      </c>
      <c r="K101" s="398"/>
      <c r="L101" s="291">
        <f t="shared" si="76"/>
        <v>15000</v>
      </c>
      <c r="M101" s="399"/>
      <c r="N101" s="290">
        <f t="shared" si="77"/>
        <v>34612.298097399995</v>
      </c>
      <c r="O101" s="291">
        <f t="shared" si="78"/>
        <v>0</v>
      </c>
      <c r="P101" s="291">
        <f t="shared" si="79"/>
        <v>34612.298097399995</v>
      </c>
      <c r="Q101" s="289">
        <f t="shared" si="80"/>
        <v>0</v>
      </c>
      <c r="R101" s="251">
        <f t="shared" si="81"/>
        <v>6.7334472885136167E-3</v>
      </c>
      <c r="S101" s="251">
        <f t="shared" si="82"/>
        <v>0</v>
      </c>
      <c r="T101" s="407"/>
    </row>
    <row r="102" spans="1:20" ht="15" customHeight="1">
      <c r="A102" s="243">
        <f t="shared" si="55"/>
        <v>92</v>
      </c>
      <c r="B102" s="244"/>
      <c r="C102" s="244" t="s">
        <v>8</v>
      </c>
      <c r="D102" s="231"/>
      <c r="E102" s="245" t="s">
        <v>116</v>
      </c>
      <c r="F102" s="290">
        <f>'Qtr 2 Budget'!H102</f>
        <v>27741.100824000001</v>
      </c>
      <c r="G102" s="398"/>
      <c r="H102" s="291">
        <f t="shared" si="75"/>
        <v>27741.100824000001</v>
      </c>
      <c r="I102" s="393"/>
      <c r="J102" s="290">
        <f>'Qtr 2 Budget'!L102</f>
        <v>20000</v>
      </c>
      <c r="K102" s="398"/>
      <c r="L102" s="291">
        <f t="shared" si="76"/>
        <v>20000</v>
      </c>
      <c r="M102" s="399"/>
      <c r="N102" s="290">
        <f t="shared" si="77"/>
        <v>47741.100824000001</v>
      </c>
      <c r="O102" s="291">
        <f t="shared" si="78"/>
        <v>0</v>
      </c>
      <c r="P102" s="291">
        <f t="shared" si="79"/>
        <v>47741.100824000001</v>
      </c>
      <c r="Q102" s="289">
        <f t="shared" si="80"/>
        <v>0</v>
      </c>
      <c r="R102" s="251">
        <f t="shared" si="81"/>
        <v>9.2875135013980939E-3</v>
      </c>
      <c r="S102" s="251">
        <f t="shared" si="82"/>
        <v>0</v>
      </c>
      <c r="T102" s="407"/>
    </row>
    <row r="103" spans="1:20" ht="15" customHeight="1">
      <c r="A103" s="305">
        <f t="shared" si="55"/>
        <v>93</v>
      </c>
      <c r="B103" s="306"/>
      <c r="C103" s="306" t="s">
        <v>9</v>
      </c>
      <c r="D103" s="307"/>
      <c r="E103" s="308">
        <v>250</v>
      </c>
      <c r="F103" s="309">
        <f>'Qtr 2 Budget'!H103</f>
        <v>23870.550412000001</v>
      </c>
      <c r="G103" s="400"/>
      <c r="H103" s="310">
        <f t="shared" si="75"/>
        <v>23870.550412000001</v>
      </c>
      <c r="I103" s="401"/>
      <c r="J103" s="309">
        <f>'Qtr 2 Budget'!L103</f>
        <v>0</v>
      </c>
      <c r="K103" s="400"/>
      <c r="L103" s="310">
        <f t="shared" si="76"/>
        <v>0</v>
      </c>
      <c r="M103" s="402"/>
      <c r="N103" s="309">
        <f t="shared" si="77"/>
        <v>23870.550412000001</v>
      </c>
      <c r="O103" s="310">
        <f t="shared" si="78"/>
        <v>0</v>
      </c>
      <c r="P103" s="310">
        <f t="shared" si="79"/>
        <v>23870.550412000001</v>
      </c>
      <c r="Q103" s="311">
        <f t="shared" si="80"/>
        <v>0</v>
      </c>
      <c r="R103" s="312">
        <f t="shared" si="81"/>
        <v>4.6437567506990469E-3</v>
      </c>
      <c r="S103" s="312">
        <f t="shared" si="82"/>
        <v>0</v>
      </c>
      <c r="T103" s="417"/>
    </row>
    <row r="104" spans="1:20" ht="15" customHeight="1">
      <c r="A104" s="243">
        <f t="shared" si="55"/>
        <v>94</v>
      </c>
      <c r="B104" s="244"/>
      <c r="C104" s="288" t="s">
        <v>33</v>
      </c>
      <c r="D104" s="231"/>
      <c r="E104" s="245">
        <v>270</v>
      </c>
      <c r="F104" s="290">
        <f>'Qtr 2 Budget'!H104</f>
        <v>0</v>
      </c>
      <c r="G104" s="398"/>
      <c r="H104" s="291">
        <f t="shared" si="75"/>
        <v>0</v>
      </c>
      <c r="I104" s="393"/>
      <c r="J104" s="290">
        <f>'Qtr 2 Budget'!L104</f>
        <v>0</v>
      </c>
      <c r="K104" s="398"/>
      <c r="L104" s="291">
        <f t="shared" si="76"/>
        <v>0</v>
      </c>
      <c r="M104" s="399"/>
      <c r="N104" s="290">
        <f t="shared" si="77"/>
        <v>0</v>
      </c>
      <c r="O104" s="291">
        <f t="shared" si="78"/>
        <v>0</v>
      </c>
      <c r="P104" s="291">
        <f t="shared" si="79"/>
        <v>0</v>
      </c>
      <c r="Q104" s="289">
        <f t="shared" si="80"/>
        <v>0</v>
      </c>
      <c r="R104" s="251">
        <f t="shared" si="81"/>
        <v>0</v>
      </c>
      <c r="S104" s="251" t="str">
        <f t="shared" si="82"/>
        <v/>
      </c>
      <c r="T104" s="407"/>
    </row>
    <row r="105" spans="1:20" ht="15" customHeight="1">
      <c r="A105" s="305">
        <f t="shared" si="55"/>
        <v>95</v>
      </c>
      <c r="B105" s="306"/>
      <c r="C105" s="313" t="s">
        <v>198</v>
      </c>
      <c r="D105" s="307"/>
      <c r="E105" s="308" t="s">
        <v>10</v>
      </c>
      <c r="F105" s="309">
        <f>'Qtr 2 Budget'!H105</f>
        <v>53335.550411999997</v>
      </c>
      <c r="G105" s="400"/>
      <c r="H105" s="310">
        <f t="shared" si="75"/>
        <v>53335.550411999997</v>
      </c>
      <c r="I105" s="401"/>
      <c r="J105" s="309">
        <f>'Qtr 2 Budget'!L105</f>
        <v>0</v>
      </c>
      <c r="K105" s="400"/>
      <c r="L105" s="310">
        <f t="shared" si="76"/>
        <v>0</v>
      </c>
      <c r="M105" s="402"/>
      <c r="N105" s="309">
        <f t="shared" si="77"/>
        <v>53335.550411999997</v>
      </c>
      <c r="O105" s="310">
        <f t="shared" si="78"/>
        <v>0</v>
      </c>
      <c r="P105" s="310">
        <f t="shared" si="79"/>
        <v>53335.550411999997</v>
      </c>
      <c r="Q105" s="311">
        <f t="shared" si="80"/>
        <v>0</v>
      </c>
      <c r="R105" s="312">
        <f t="shared" si="81"/>
        <v>1.037585300728818E-2</v>
      </c>
      <c r="S105" s="312">
        <f t="shared" si="82"/>
        <v>0</v>
      </c>
      <c r="T105" s="417"/>
    </row>
    <row r="106" spans="1:20" ht="15" customHeight="1">
      <c r="A106" s="314">
        <f t="shared" si="55"/>
        <v>96</v>
      </c>
      <c r="B106" s="315"/>
      <c r="C106" s="315"/>
      <c r="D106" s="316" t="s">
        <v>78</v>
      </c>
      <c r="E106" s="317" t="s">
        <v>11</v>
      </c>
      <c r="F106" s="318">
        <f>SUM(F99:F105)</f>
        <v>386853.75604979997</v>
      </c>
      <c r="G106" s="319">
        <f t="shared" ref="G106:Q106" si="83">SUM(G99:G105)</f>
        <v>0</v>
      </c>
      <c r="H106" s="319">
        <f t="shared" si="83"/>
        <v>386853.75604979997</v>
      </c>
      <c r="I106" s="320">
        <f t="shared" si="83"/>
        <v>0</v>
      </c>
      <c r="J106" s="318">
        <f t="shared" si="83"/>
        <v>95000</v>
      </c>
      <c r="K106" s="319">
        <f t="shared" si="83"/>
        <v>0</v>
      </c>
      <c r="L106" s="319">
        <f t="shared" si="83"/>
        <v>95000</v>
      </c>
      <c r="M106" s="320">
        <f t="shared" si="83"/>
        <v>0</v>
      </c>
      <c r="N106" s="318">
        <f t="shared" si="83"/>
        <v>481853.75604979997</v>
      </c>
      <c r="O106" s="319">
        <f t="shared" si="83"/>
        <v>0</v>
      </c>
      <c r="P106" s="319">
        <f t="shared" si="83"/>
        <v>481853.75604979997</v>
      </c>
      <c r="Q106" s="321">
        <f t="shared" si="83"/>
        <v>0</v>
      </c>
      <c r="R106" s="322">
        <f t="shared" si="81"/>
        <v>9.373942342699719E-2</v>
      </c>
      <c r="S106" s="322">
        <f t="shared" si="82"/>
        <v>0</v>
      </c>
      <c r="T106" s="418"/>
    </row>
    <row r="107" spans="1:20" ht="17.25" customHeight="1">
      <c r="A107" s="323">
        <f t="shared" si="55"/>
        <v>97</v>
      </c>
      <c r="B107" s="324" t="s">
        <v>80</v>
      </c>
      <c r="C107" s="325"/>
      <c r="D107" s="326"/>
      <c r="E107" s="327"/>
      <c r="F107" s="328"/>
      <c r="G107" s="329"/>
      <c r="H107" s="329"/>
      <c r="I107" s="330"/>
      <c r="J107" s="328"/>
      <c r="K107" s="329"/>
      <c r="L107" s="329"/>
      <c r="M107" s="331"/>
      <c r="N107" s="328"/>
      <c r="O107" s="329"/>
      <c r="P107" s="329"/>
      <c r="Q107" s="311"/>
      <c r="R107" s="312"/>
      <c r="S107" s="312"/>
      <c r="T107" s="419"/>
    </row>
    <row r="108" spans="1:20" ht="17.25" customHeight="1">
      <c r="A108" s="305">
        <f t="shared" si="55"/>
        <v>98</v>
      </c>
      <c r="B108" s="306"/>
      <c r="C108" s="306" t="s">
        <v>12</v>
      </c>
      <c r="D108" s="307"/>
      <c r="E108" s="308">
        <v>332</v>
      </c>
      <c r="F108" s="309">
        <f>'Qtr 2 Budget'!H108</f>
        <v>12500</v>
      </c>
      <c r="G108" s="400"/>
      <c r="H108" s="310">
        <f t="shared" ref="H108:H111" si="84">SUM(F108:G108)</f>
        <v>12500</v>
      </c>
      <c r="I108" s="401"/>
      <c r="J108" s="309">
        <f>'Qtr 2 Budget'!L108</f>
        <v>0</v>
      </c>
      <c r="K108" s="400"/>
      <c r="L108" s="310">
        <f t="shared" ref="L108:L111" si="85">SUM(J108:K108)</f>
        <v>0</v>
      </c>
      <c r="M108" s="402"/>
      <c r="N108" s="309">
        <f t="shared" ref="N108:N111" si="86">F108+J108</f>
        <v>12500</v>
      </c>
      <c r="O108" s="310">
        <f t="shared" ref="O108:O111" si="87">K108+G108</f>
        <v>0</v>
      </c>
      <c r="P108" s="310">
        <f t="shared" ref="P108:P111" si="88">SUM(N108:O108)</f>
        <v>12500</v>
      </c>
      <c r="Q108" s="311">
        <f t="shared" ref="Q108:Q111" si="89">M108+I108</f>
        <v>0</v>
      </c>
      <c r="R108" s="312">
        <f t="shared" ref="R108:R112" si="90">P108/$P$156</f>
        <v>2.431739460626648E-3</v>
      </c>
      <c r="S108" s="312">
        <f t="shared" ref="S108:S112" si="91">IFERROR(Q108/P108,"")</f>
        <v>0</v>
      </c>
      <c r="T108" s="417"/>
    </row>
    <row r="109" spans="1:20" ht="15" customHeight="1">
      <c r="A109" s="305">
        <f t="shared" si="55"/>
        <v>99</v>
      </c>
      <c r="B109" s="306"/>
      <c r="C109" s="306" t="s">
        <v>13</v>
      </c>
      <c r="D109" s="307"/>
      <c r="E109" s="308">
        <v>333</v>
      </c>
      <c r="F109" s="309">
        <f>'Qtr 2 Budget'!H109</f>
        <v>17677</v>
      </c>
      <c r="G109" s="400"/>
      <c r="H109" s="310">
        <f t="shared" si="84"/>
        <v>17677</v>
      </c>
      <c r="I109" s="401"/>
      <c r="J109" s="309">
        <f>'Qtr 2 Budget'!L109</f>
        <v>0</v>
      </c>
      <c r="K109" s="400"/>
      <c r="L109" s="310">
        <f t="shared" si="85"/>
        <v>0</v>
      </c>
      <c r="M109" s="402"/>
      <c r="N109" s="309">
        <f t="shared" si="86"/>
        <v>17677</v>
      </c>
      <c r="O109" s="310">
        <f t="shared" si="87"/>
        <v>0</v>
      </c>
      <c r="P109" s="310">
        <f t="shared" si="88"/>
        <v>17677</v>
      </c>
      <c r="Q109" s="311">
        <f t="shared" si="89"/>
        <v>0</v>
      </c>
      <c r="R109" s="312">
        <f t="shared" si="90"/>
        <v>3.4388686756397801E-3</v>
      </c>
      <c r="S109" s="312">
        <f t="shared" si="91"/>
        <v>0</v>
      </c>
      <c r="T109" s="417"/>
    </row>
    <row r="110" spans="1:20" ht="15" customHeight="1">
      <c r="A110" s="305">
        <f t="shared" si="55"/>
        <v>100</v>
      </c>
      <c r="B110" s="306"/>
      <c r="C110" s="306" t="s">
        <v>35</v>
      </c>
      <c r="D110" s="307"/>
      <c r="E110" s="308" t="s">
        <v>96</v>
      </c>
      <c r="F110" s="309">
        <f>'Qtr 2 Budget'!H110</f>
        <v>0</v>
      </c>
      <c r="G110" s="400"/>
      <c r="H110" s="310">
        <f t="shared" si="84"/>
        <v>0</v>
      </c>
      <c r="I110" s="401"/>
      <c r="J110" s="309">
        <f>'Qtr 2 Budget'!L110</f>
        <v>0</v>
      </c>
      <c r="K110" s="400"/>
      <c r="L110" s="310">
        <f t="shared" si="85"/>
        <v>0</v>
      </c>
      <c r="M110" s="402"/>
      <c r="N110" s="309">
        <f t="shared" si="86"/>
        <v>0</v>
      </c>
      <c r="O110" s="310">
        <f t="shared" si="87"/>
        <v>0</v>
      </c>
      <c r="P110" s="310">
        <f t="shared" si="88"/>
        <v>0</v>
      </c>
      <c r="Q110" s="311">
        <f t="shared" si="89"/>
        <v>0</v>
      </c>
      <c r="R110" s="312">
        <f t="shared" si="90"/>
        <v>0</v>
      </c>
      <c r="S110" s="312" t="str">
        <f t="shared" si="91"/>
        <v/>
      </c>
      <c r="T110" s="417"/>
    </row>
    <row r="111" spans="1:20" ht="15" customHeight="1">
      <c r="A111" s="305">
        <f t="shared" si="55"/>
        <v>101</v>
      </c>
      <c r="B111" s="306"/>
      <c r="C111" s="313" t="s">
        <v>199</v>
      </c>
      <c r="D111" s="307"/>
      <c r="E111" s="308" t="s">
        <v>96</v>
      </c>
      <c r="F111" s="309">
        <f>'Qtr 2 Budget'!H111</f>
        <v>549205</v>
      </c>
      <c r="G111" s="400"/>
      <c r="H111" s="310">
        <f t="shared" si="84"/>
        <v>549205</v>
      </c>
      <c r="I111" s="401"/>
      <c r="J111" s="309">
        <f>'Qtr 2 Budget'!L111</f>
        <v>200000</v>
      </c>
      <c r="K111" s="400"/>
      <c r="L111" s="310">
        <f t="shared" si="85"/>
        <v>200000</v>
      </c>
      <c r="M111" s="402"/>
      <c r="N111" s="309">
        <f t="shared" si="86"/>
        <v>749205</v>
      </c>
      <c r="O111" s="310">
        <f t="shared" si="87"/>
        <v>0</v>
      </c>
      <c r="P111" s="310">
        <f t="shared" si="88"/>
        <v>749205</v>
      </c>
      <c r="Q111" s="311">
        <f t="shared" si="89"/>
        <v>0</v>
      </c>
      <c r="R111" s="312">
        <f t="shared" si="90"/>
        <v>0.14574970900790302</v>
      </c>
      <c r="S111" s="312">
        <f t="shared" si="91"/>
        <v>0</v>
      </c>
      <c r="T111" s="417"/>
    </row>
    <row r="112" spans="1:20" ht="15" customHeight="1">
      <c r="A112" s="314">
        <f t="shared" si="55"/>
        <v>102</v>
      </c>
      <c r="B112" s="315"/>
      <c r="C112" s="315"/>
      <c r="D112" s="316" t="s">
        <v>79</v>
      </c>
      <c r="E112" s="317" t="s">
        <v>14</v>
      </c>
      <c r="F112" s="318">
        <f>SUM(F108:F111)</f>
        <v>579382</v>
      </c>
      <c r="G112" s="319">
        <f t="shared" ref="G112:Q112" si="92">SUM(G108:G111)</f>
        <v>0</v>
      </c>
      <c r="H112" s="319">
        <f t="shared" si="92"/>
        <v>579382</v>
      </c>
      <c r="I112" s="320">
        <f t="shared" si="92"/>
        <v>0</v>
      </c>
      <c r="J112" s="318">
        <f t="shared" si="92"/>
        <v>200000</v>
      </c>
      <c r="K112" s="319">
        <f t="shared" si="92"/>
        <v>0</v>
      </c>
      <c r="L112" s="319">
        <f t="shared" si="92"/>
        <v>200000</v>
      </c>
      <c r="M112" s="320">
        <f t="shared" si="92"/>
        <v>0</v>
      </c>
      <c r="N112" s="318">
        <f t="shared" si="92"/>
        <v>779382</v>
      </c>
      <c r="O112" s="319">
        <f t="shared" si="92"/>
        <v>0</v>
      </c>
      <c r="P112" s="319">
        <f t="shared" si="92"/>
        <v>779382</v>
      </c>
      <c r="Q112" s="321">
        <f t="shared" si="92"/>
        <v>0</v>
      </c>
      <c r="R112" s="322">
        <f t="shared" si="90"/>
        <v>0.15162031714416943</v>
      </c>
      <c r="S112" s="322">
        <f t="shared" si="91"/>
        <v>0</v>
      </c>
      <c r="T112" s="418"/>
    </row>
    <row r="113" spans="1:20" ht="17.25" customHeight="1">
      <c r="A113" s="323">
        <f t="shared" si="55"/>
        <v>103</v>
      </c>
      <c r="B113" s="324" t="s">
        <v>81</v>
      </c>
      <c r="C113" s="324"/>
      <c r="D113" s="326"/>
      <c r="E113" s="327"/>
      <c r="F113" s="328"/>
      <c r="G113" s="329"/>
      <c r="H113" s="329"/>
      <c r="I113" s="330"/>
      <c r="J113" s="328"/>
      <c r="K113" s="329"/>
      <c r="L113" s="329"/>
      <c r="M113" s="331"/>
      <c r="N113" s="328"/>
      <c r="O113" s="329"/>
      <c r="P113" s="329"/>
      <c r="Q113" s="311"/>
      <c r="R113" s="312"/>
      <c r="S113" s="312"/>
      <c r="T113" s="419"/>
    </row>
    <row r="114" spans="1:20" ht="17.25" customHeight="1">
      <c r="A114" s="305">
        <f t="shared" si="55"/>
        <v>104</v>
      </c>
      <c r="B114" s="332"/>
      <c r="C114" s="306" t="s">
        <v>24</v>
      </c>
      <c r="D114" s="307"/>
      <c r="E114" s="308">
        <v>411</v>
      </c>
      <c r="F114" s="309">
        <f>'Qtr 2 Budget'!H114</f>
        <v>24500</v>
      </c>
      <c r="G114" s="400"/>
      <c r="H114" s="310">
        <f t="shared" ref="H114:H118" si="93">SUM(F114:G114)</f>
        <v>24500</v>
      </c>
      <c r="I114" s="401"/>
      <c r="J114" s="309">
        <f>'Qtr 2 Budget'!L114</f>
        <v>0</v>
      </c>
      <c r="K114" s="400"/>
      <c r="L114" s="310">
        <f t="shared" ref="L114:L118" si="94">SUM(J114:K114)</f>
        <v>0</v>
      </c>
      <c r="M114" s="402"/>
      <c r="N114" s="309">
        <f t="shared" ref="N114:N118" si="95">F114+J114</f>
        <v>24500</v>
      </c>
      <c r="O114" s="310">
        <f t="shared" ref="O114:O118" si="96">K114+G114</f>
        <v>0</v>
      </c>
      <c r="P114" s="310">
        <f t="shared" ref="P114:P118" si="97">SUM(N114:O114)</f>
        <v>24500</v>
      </c>
      <c r="Q114" s="311">
        <f t="shared" ref="Q114:Q118" si="98">M114+I114</f>
        <v>0</v>
      </c>
      <c r="R114" s="312">
        <f t="shared" ref="R114:R119" si="99">P114/$P$156</f>
        <v>4.7662093428282298E-3</v>
      </c>
      <c r="S114" s="312">
        <f t="shared" ref="S114:S119" si="100">IFERROR(Q114/P114,"")</f>
        <v>0</v>
      </c>
      <c r="T114" s="417"/>
    </row>
    <row r="115" spans="1:20" ht="15" customHeight="1">
      <c r="A115" s="305">
        <f t="shared" si="55"/>
        <v>105</v>
      </c>
      <c r="B115" s="332"/>
      <c r="C115" s="333" t="s">
        <v>114</v>
      </c>
      <c r="D115" s="307"/>
      <c r="E115" s="308">
        <v>441</v>
      </c>
      <c r="F115" s="309">
        <f>'Qtr 2 Budget'!H115</f>
        <v>0</v>
      </c>
      <c r="G115" s="400"/>
      <c r="H115" s="310">
        <f t="shared" si="93"/>
        <v>0</v>
      </c>
      <c r="I115" s="401"/>
      <c r="J115" s="309">
        <f>'Qtr 2 Budget'!L115</f>
        <v>0</v>
      </c>
      <c r="K115" s="400"/>
      <c r="L115" s="310">
        <f t="shared" si="94"/>
        <v>0</v>
      </c>
      <c r="M115" s="402"/>
      <c r="N115" s="309">
        <f t="shared" si="95"/>
        <v>0</v>
      </c>
      <c r="O115" s="310">
        <f t="shared" si="96"/>
        <v>0</v>
      </c>
      <c r="P115" s="310">
        <f t="shared" si="97"/>
        <v>0</v>
      </c>
      <c r="Q115" s="311">
        <f t="shared" si="98"/>
        <v>0</v>
      </c>
      <c r="R115" s="312">
        <f t="shared" si="99"/>
        <v>0</v>
      </c>
      <c r="S115" s="312" t="str">
        <f t="shared" si="100"/>
        <v/>
      </c>
      <c r="T115" s="417"/>
    </row>
    <row r="116" spans="1:20" ht="15" customHeight="1">
      <c r="A116" s="305">
        <f t="shared" si="55"/>
        <v>106</v>
      </c>
      <c r="B116" s="332"/>
      <c r="C116" s="306" t="s">
        <v>97</v>
      </c>
      <c r="D116" s="307"/>
      <c r="E116" s="308">
        <v>442</v>
      </c>
      <c r="F116" s="309">
        <f>'Qtr 2 Budget'!H116</f>
        <v>22070</v>
      </c>
      <c r="G116" s="400"/>
      <c r="H116" s="310">
        <f t="shared" si="93"/>
        <v>22070</v>
      </c>
      <c r="I116" s="401"/>
      <c r="J116" s="309">
        <f>'Qtr 2 Budget'!L116</f>
        <v>0</v>
      </c>
      <c r="K116" s="400"/>
      <c r="L116" s="310">
        <f t="shared" si="94"/>
        <v>0</v>
      </c>
      <c r="M116" s="402"/>
      <c r="N116" s="309">
        <f t="shared" si="95"/>
        <v>22070</v>
      </c>
      <c r="O116" s="310">
        <f t="shared" si="96"/>
        <v>0</v>
      </c>
      <c r="P116" s="310">
        <f t="shared" si="97"/>
        <v>22070</v>
      </c>
      <c r="Q116" s="311">
        <f t="shared" si="98"/>
        <v>0</v>
      </c>
      <c r="R116" s="312">
        <f t="shared" si="99"/>
        <v>4.2934791916824097E-3</v>
      </c>
      <c r="S116" s="312">
        <f t="shared" si="100"/>
        <v>0</v>
      </c>
      <c r="T116" s="417"/>
    </row>
    <row r="117" spans="1:20" ht="15" customHeight="1">
      <c r="A117" s="305">
        <f t="shared" si="55"/>
        <v>107</v>
      </c>
      <c r="B117" s="332"/>
      <c r="C117" s="306" t="s">
        <v>36</v>
      </c>
      <c r="D117" s="307"/>
      <c r="E117" s="308">
        <v>430</v>
      </c>
      <c r="F117" s="309">
        <f>'Qtr 2 Budget'!H117</f>
        <v>81000</v>
      </c>
      <c r="G117" s="400"/>
      <c r="H117" s="310">
        <f t="shared" si="93"/>
        <v>81000</v>
      </c>
      <c r="I117" s="401"/>
      <c r="J117" s="309">
        <f>'Qtr 2 Budget'!L117</f>
        <v>0</v>
      </c>
      <c r="K117" s="400"/>
      <c r="L117" s="310">
        <f t="shared" si="94"/>
        <v>0</v>
      </c>
      <c r="M117" s="402"/>
      <c r="N117" s="309">
        <f t="shared" si="95"/>
        <v>81000</v>
      </c>
      <c r="O117" s="310">
        <f t="shared" si="96"/>
        <v>0</v>
      </c>
      <c r="P117" s="310">
        <f t="shared" si="97"/>
        <v>81000</v>
      </c>
      <c r="Q117" s="311">
        <f t="shared" si="98"/>
        <v>0</v>
      </c>
      <c r="R117" s="312">
        <f t="shared" si="99"/>
        <v>1.5757671704860678E-2</v>
      </c>
      <c r="S117" s="312">
        <f t="shared" si="100"/>
        <v>0</v>
      </c>
      <c r="T117" s="417"/>
    </row>
    <row r="118" spans="1:20" ht="15" customHeight="1">
      <c r="A118" s="305">
        <f t="shared" si="55"/>
        <v>108</v>
      </c>
      <c r="B118" s="306"/>
      <c r="C118" s="313" t="s">
        <v>200</v>
      </c>
      <c r="D118" s="307"/>
      <c r="E118" s="334" t="s">
        <v>98</v>
      </c>
      <c r="F118" s="309">
        <f>'Qtr 2 Budget'!H118</f>
        <v>78100</v>
      </c>
      <c r="G118" s="400"/>
      <c r="H118" s="310">
        <f t="shared" si="93"/>
        <v>78100</v>
      </c>
      <c r="I118" s="401"/>
      <c r="J118" s="309">
        <f>'Qtr 2 Budget'!L118</f>
        <v>0</v>
      </c>
      <c r="K118" s="400"/>
      <c r="L118" s="310">
        <f t="shared" si="94"/>
        <v>0</v>
      </c>
      <c r="M118" s="402"/>
      <c r="N118" s="309">
        <f t="shared" si="95"/>
        <v>78100</v>
      </c>
      <c r="O118" s="310">
        <f t="shared" si="96"/>
        <v>0</v>
      </c>
      <c r="P118" s="310">
        <f t="shared" si="97"/>
        <v>78100</v>
      </c>
      <c r="Q118" s="311">
        <f t="shared" si="98"/>
        <v>0</v>
      </c>
      <c r="R118" s="312">
        <f t="shared" si="99"/>
        <v>1.5193508149995295E-2</v>
      </c>
      <c r="S118" s="312">
        <f t="shared" si="100"/>
        <v>0</v>
      </c>
      <c r="T118" s="417"/>
    </row>
    <row r="119" spans="1:20" ht="15" customHeight="1" thickBot="1">
      <c r="A119" s="219">
        <f t="shared" si="55"/>
        <v>109</v>
      </c>
      <c r="B119" s="195"/>
      <c r="C119" s="195" t="s">
        <v>82</v>
      </c>
      <c r="D119" s="196"/>
      <c r="E119" s="197">
        <v>400</v>
      </c>
      <c r="F119" s="223">
        <f>SUM(F114:F118)</f>
        <v>205670</v>
      </c>
      <c r="G119" s="226">
        <f t="shared" ref="G119:Q119" si="101">SUM(G114:G118)</f>
        <v>0</v>
      </c>
      <c r="H119" s="226">
        <f t="shared" si="101"/>
        <v>205670</v>
      </c>
      <c r="I119" s="199">
        <f t="shared" si="101"/>
        <v>0</v>
      </c>
      <c r="J119" s="223">
        <f t="shared" si="101"/>
        <v>0</v>
      </c>
      <c r="K119" s="226">
        <f t="shared" si="101"/>
        <v>0</v>
      </c>
      <c r="L119" s="226">
        <f t="shared" si="101"/>
        <v>0</v>
      </c>
      <c r="M119" s="199">
        <f t="shared" si="101"/>
        <v>0</v>
      </c>
      <c r="N119" s="223">
        <f t="shared" si="101"/>
        <v>205670</v>
      </c>
      <c r="O119" s="226">
        <f t="shared" si="101"/>
        <v>0</v>
      </c>
      <c r="P119" s="226">
        <f t="shared" si="101"/>
        <v>205670</v>
      </c>
      <c r="Q119" s="198">
        <f t="shared" si="101"/>
        <v>0</v>
      </c>
      <c r="R119" s="194">
        <f t="shared" si="99"/>
        <v>4.0010868389366613E-2</v>
      </c>
      <c r="S119" s="194">
        <f t="shared" si="100"/>
        <v>0</v>
      </c>
      <c r="T119" s="415"/>
    </row>
    <row r="120" spans="1:20" ht="17.25" customHeight="1" thickTop="1">
      <c r="A120" s="268">
        <f t="shared" si="55"/>
        <v>110</v>
      </c>
      <c r="B120" s="269" t="s">
        <v>99</v>
      </c>
      <c r="C120" s="269"/>
      <c r="D120" s="270"/>
      <c r="E120" s="335"/>
      <c r="F120" s="336"/>
      <c r="G120" s="337"/>
      <c r="H120" s="337"/>
      <c r="I120" s="338"/>
      <c r="J120" s="336"/>
      <c r="K120" s="337"/>
      <c r="L120" s="337"/>
      <c r="M120" s="339"/>
      <c r="N120" s="336"/>
      <c r="O120" s="337"/>
      <c r="P120" s="337"/>
      <c r="Q120" s="340"/>
      <c r="R120" s="275"/>
      <c r="S120" s="275"/>
      <c r="T120" s="420"/>
    </row>
    <row r="121" spans="1:20" ht="17.25" customHeight="1">
      <c r="A121" s="243">
        <f t="shared" si="55"/>
        <v>111</v>
      </c>
      <c r="B121" s="302"/>
      <c r="C121" s="288" t="s">
        <v>15</v>
      </c>
      <c r="D121" s="231"/>
      <c r="E121" s="245" t="s">
        <v>16</v>
      </c>
      <c r="F121" s="290">
        <f>'Qtr 2 Budget'!H121</f>
        <v>301360</v>
      </c>
      <c r="G121" s="398"/>
      <c r="H121" s="291">
        <f t="shared" ref="H121:H129" si="102">SUM(F121:G121)</f>
        <v>301360</v>
      </c>
      <c r="I121" s="393"/>
      <c r="J121" s="290">
        <f>'Qtr 2 Budget'!L121</f>
        <v>50000</v>
      </c>
      <c r="K121" s="398"/>
      <c r="L121" s="291">
        <f t="shared" ref="L121:L129" si="103">SUM(J121:K121)</f>
        <v>50000</v>
      </c>
      <c r="M121" s="399"/>
      <c r="N121" s="290">
        <f t="shared" ref="N121:N129" si="104">F121+J121</f>
        <v>351360</v>
      </c>
      <c r="O121" s="291">
        <f t="shared" ref="O121:O129" si="105">K121+G121</f>
        <v>0</v>
      </c>
      <c r="P121" s="291">
        <f t="shared" ref="P121:P129" si="106">SUM(N121:O121)</f>
        <v>351360</v>
      </c>
      <c r="Q121" s="289">
        <f t="shared" ref="Q121:Q129" si="107">M121+I121</f>
        <v>0</v>
      </c>
      <c r="R121" s="251">
        <f t="shared" ref="R121:R130" si="108">P121/$P$156</f>
        <v>6.8353278150862312E-2</v>
      </c>
      <c r="S121" s="251">
        <f t="shared" ref="S121:S130" si="109">IFERROR(Q121/P121,"")</f>
        <v>0</v>
      </c>
      <c r="T121" s="407"/>
    </row>
    <row r="122" spans="1:20" ht="15" customHeight="1">
      <c r="A122" s="243">
        <f t="shared" si="55"/>
        <v>112</v>
      </c>
      <c r="B122" s="302"/>
      <c r="C122" s="288" t="s">
        <v>146</v>
      </c>
      <c r="D122" s="231"/>
      <c r="E122" s="245">
        <v>522</v>
      </c>
      <c r="F122" s="290">
        <f>'Qtr 2 Budget'!H122</f>
        <v>26650</v>
      </c>
      <c r="G122" s="398"/>
      <c r="H122" s="291">
        <f t="shared" si="102"/>
        <v>26650</v>
      </c>
      <c r="I122" s="393"/>
      <c r="J122" s="290">
        <f>'Qtr 2 Budget'!L122</f>
        <v>0</v>
      </c>
      <c r="K122" s="398"/>
      <c r="L122" s="291">
        <f t="shared" si="103"/>
        <v>0</v>
      </c>
      <c r="M122" s="399"/>
      <c r="N122" s="290">
        <f t="shared" si="104"/>
        <v>26650</v>
      </c>
      <c r="O122" s="291">
        <f t="shared" si="105"/>
        <v>0</v>
      </c>
      <c r="P122" s="291">
        <f t="shared" si="106"/>
        <v>26650</v>
      </c>
      <c r="Q122" s="289">
        <f t="shared" si="107"/>
        <v>0</v>
      </c>
      <c r="R122" s="251">
        <f t="shared" si="108"/>
        <v>5.1844685300560132E-3</v>
      </c>
      <c r="S122" s="251">
        <f t="shared" si="109"/>
        <v>0</v>
      </c>
      <c r="T122" s="407"/>
    </row>
    <row r="123" spans="1:20" ht="15" customHeight="1">
      <c r="A123" s="243">
        <f t="shared" si="55"/>
        <v>113</v>
      </c>
      <c r="B123" s="302"/>
      <c r="C123" s="288" t="s">
        <v>147</v>
      </c>
      <c r="D123" s="231"/>
      <c r="E123" s="245">
        <v>521</v>
      </c>
      <c r="F123" s="290">
        <f>'Qtr 2 Budget'!H123</f>
        <v>51000</v>
      </c>
      <c r="G123" s="398"/>
      <c r="H123" s="291">
        <f t="shared" si="102"/>
        <v>51000</v>
      </c>
      <c r="I123" s="393"/>
      <c r="J123" s="290">
        <f>'Qtr 2 Budget'!L123</f>
        <v>0</v>
      </c>
      <c r="K123" s="398"/>
      <c r="L123" s="291">
        <f t="shared" si="103"/>
        <v>0</v>
      </c>
      <c r="M123" s="399"/>
      <c r="N123" s="290">
        <f t="shared" si="104"/>
        <v>51000</v>
      </c>
      <c r="O123" s="291">
        <f t="shared" si="105"/>
        <v>0</v>
      </c>
      <c r="P123" s="291">
        <f t="shared" si="106"/>
        <v>51000</v>
      </c>
      <c r="Q123" s="289">
        <f t="shared" si="107"/>
        <v>0</v>
      </c>
      <c r="R123" s="251">
        <f t="shared" si="108"/>
        <v>9.9214969993567225E-3</v>
      </c>
      <c r="S123" s="251">
        <f t="shared" si="109"/>
        <v>0</v>
      </c>
      <c r="T123" s="407"/>
    </row>
    <row r="124" spans="1:20" ht="15" customHeight="1">
      <c r="A124" s="243">
        <f t="shared" si="55"/>
        <v>114</v>
      </c>
      <c r="B124" s="302"/>
      <c r="C124" s="288" t="s">
        <v>148</v>
      </c>
      <c r="D124" s="231"/>
      <c r="E124" s="245">
        <v>523</v>
      </c>
      <c r="F124" s="290">
        <f>'Qtr 2 Budget'!H124</f>
        <v>0</v>
      </c>
      <c r="G124" s="398"/>
      <c r="H124" s="291">
        <f t="shared" si="102"/>
        <v>0</v>
      </c>
      <c r="I124" s="393"/>
      <c r="J124" s="290">
        <f>'Qtr 2 Budget'!L124</f>
        <v>0</v>
      </c>
      <c r="K124" s="398"/>
      <c r="L124" s="291">
        <f t="shared" si="103"/>
        <v>0</v>
      </c>
      <c r="M124" s="399"/>
      <c r="N124" s="290">
        <f t="shared" si="104"/>
        <v>0</v>
      </c>
      <c r="O124" s="291">
        <f t="shared" si="105"/>
        <v>0</v>
      </c>
      <c r="P124" s="291">
        <f t="shared" si="106"/>
        <v>0</v>
      </c>
      <c r="Q124" s="289">
        <f t="shared" si="107"/>
        <v>0</v>
      </c>
      <c r="R124" s="251">
        <f t="shared" si="108"/>
        <v>0</v>
      </c>
      <c r="S124" s="251" t="str">
        <f t="shared" si="109"/>
        <v/>
      </c>
      <c r="T124" s="407"/>
    </row>
    <row r="125" spans="1:20" ht="15" customHeight="1">
      <c r="A125" s="243">
        <f t="shared" si="55"/>
        <v>115</v>
      </c>
      <c r="B125" s="302"/>
      <c r="C125" s="288" t="s">
        <v>149</v>
      </c>
      <c r="D125" s="231"/>
      <c r="E125" s="245">
        <v>524</v>
      </c>
      <c r="F125" s="290">
        <f>'Qtr 2 Budget'!H125</f>
        <v>0</v>
      </c>
      <c r="G125" s="398"/>
      <c r="H125" s="291">
        <f t="shared" si="102"/>
        <v>0</v>
      </c>
      <c r="I125" s="393"/>
      <c r="J125" s="290">
        <f>'Qtr 2 Budget'!L125</f>
        <v>0</v>
      </c>
      <c r="K125" s="398"/>
      <c r="L125" s="291">
        <f t="shared" si="103"/>
        <v>0</v>
      </c>
      <c r="M125" s="399"/>
      <c r="N125" s="290">
        <f t="shared" si="104"/>
        <v>0</v>
      </c>
      <c r="O125" s="291">
        <f t="shared" si="105"/>
        <v>0</v>
      </c>
      <c r="P125" s="291">
        <f t="shared" si="106"/>
        <v>0</v>
      </c>
      <c r="Q125" s="289">
        <f t="shared" si="107"/>
        <v>0</v>
      </c>
      <c r="R125" s="251">
        <f t="shared" si="108"/>
        <v>0</v>
      </c>
      <c r="S125" s="251" t="str">
        <f t="shared" si="109"/>
        <v/>
      </c>
      <c r="T125" s="407"/>
    </row>
    <row r="126" spans="1:20" ht="15" customHeight="1">
      <c r="A126" s="243">
        <f t="shared" si="55"/>
        <v>116</v>
      </c>
      <c r="B126" s="302"/>
      <c r="C126" s="244" t="s">
        <v>150</v>
      </c>
      <c r="D126" s="231"/>
      <c r="E126" s="245">
        <v>525</v>
      </c>
      <c r="F126" s="290">
        <f>'Qtr 2 Budget'!H126</f>
        <v>0</v>
      </c>
      <c r="G126" s="398"/>
      <c r="H126" s="291">
        <f t="shared" si="102"/>
        <v>0</v>
      </c>
      <c r="I126" s="393"/>
      <c r="J126" s="290">
        <f>'Qtr 2 Budget'!L126</f>
        <v>0</v>
      </c>
      <c r="K126" s="398"/>
      <c r="L126" s="291">
        <f t="shared" si="103"/>
        <v>0</v>
      </c>
      <c r="M126" s="399"/>
      <c r="N126" s="290">
        <f t="shared" si="104"/>
        <v>0</v>
      </c>
      <c r="O126" s="291">
        <f t="shared" si="105"/>
        <v>0</v>
      </c>
      <c r="P126" s="291">
        <f t="shared" si="106"/>
        <v>0</v>
      </c>
      <c r="Q126" s="289">
        <f t="shared" si="107"/>
        <v>0</v>
      </c>
      <c r="R126" s="251">
        <f t="shared" si="108"/>
        <v>0</v>
      </c>
      <c r="S126" s="251" t="str">
        <f t="shared" si="109"/>
        <v/>
      </c>
      <c r="T126" s="407"/>
    </row>
    <row r="127" spans="1:20" ht="17.25" customHeight="1">
      <c r="A127" s="243">
        <f t="shared" si="55"/>
        <v>117</v>
      </c>
      <c r="B127" s="244"/>
      <c r="C127" s="288" t="s">
        <v>115</v>
      </c>
      <c r="D127" s="231"/>
      <c r="E127" s="304" t="s">
        <v>100</v>
      </c>
      <c r="F127" s="290">
        <f>'Qtr 2 Budget'!H127</f>
        <v>267500</v>
      </c>
      <c r="G127" s="398"/>
      <c r="H127" s="291">
        <f t="shared" si="102"/>
        <v>267500</v>
      </c>
      <c r="I127" s="393"/>
      <c r="J127" s="290">
        <f>'Qtr 2 Budget'!L127</f>
        <v>0</v>
      </c>
      <c r="K127" s="398"/>
      <c r="L127" s="291">
        <f t="shared" si="103"/>
        <v>0</v>
      </c>
      <c r="M127" s="399"/>
      <c r="N127" s="290">
        <f t="shared" si="104"/>
        <v>267500</v>
      </c>
      <c r="O127" s="291">
        <f t="shared" si="105"/>
        <v>0</v>
      </c>
      <c r="P127" s="291">
        <f t="shared" si="106"/>
        <v>267500</v>
      </c>
      <c r="Q127" s="289">
        <f t="shared" si="107"/>
        <v>0</v>
      </c>
      <c r="R127" s="251">
        <f t="shared" si="108"/>
        <v>5.2039224457410264E-2</v>
      </c>
      <c r="S127" s="251">
        <f t="shared" si="109"/>
        <v>0</v>
      </c>
      <c r="T127" s="407"/>
    </row>
    <row r="128" spans="1:20" ht="17.25" customHeight="1">
      <c r="A128" s="243">
        <f t="shared" si="55"/>
        <v>118</v>
      </c>
      <c r="B128" s="244"/>
      <c r="C128" s="244" t="s">
        <v>17</v>
      </c>
      <c r="D128" s="231"/>
      <c r="E128" s="245" t="s">
        <v>131</v>
      </c>
      <c r="F128" s="290">
        <f>'Qtr 2 Budget'!H128</f>
        <v>20000</v>
      </c>
      <c r="G128" s="398"/>
      <c r="H128" s="291">
        <f t="shared" si="102"/>
        <v>20000</v>
      </c>
      <c r="I128" s="393"/>
      <c r="J128" s="290">
        <f>'Qtr 2 Budget'!L128</f>
        <v>0</v>
      </c>
      <c r="K128" s="398"/>
      <c r="L128" s="291">
        <f t="shared" si="103"/>
        <v>0</v>
      </c>
      <c r="M128" s="399"/>
      <c r="N128" s="290">
        <f t="shared" si="104"/>
        <v>20000</v>
      </c>
      <c r="O128" s="291">
        <f t="shared" si="105"/>
        <v>0</v>
      </c>
      <c r="P128" s="291">
        <f t="shared" si="106"/>
        <v>20000</v>
      </c>
      <c r="Q128" s="289">
        <f t="shared" si="107"/>
        <v>0</v>
      </c>
      <c r="R128" s="251">
        <f t="shared" si="108"/>
        <v>3.8907831370026363E-3</v>
      </c>
      <c r="S128" s="251">
        <f t="shared" si="109"/>
        <v>0</v>
      </c>
      <c r="T128" s="407"/>
    </row>
    <row r="129" spans="1:20" ht="15" customHeight="1">
      <c r="A129" s="243">
        <f t="shared" si="55"/>
        <v>119</v>
      </c>
      <c r="B129" s="244"/>
      <c r="C129" s="288" t="s">
        <v>201</v>
      </c>
      <c r="D129" s="231"/>
      <c r="E129" s="245" t="s">
        <v>121</v>
      </c>
      <c r="F129" s="290">
        <f>'Qtr 2 Budget'!H129</f>
        <v>52632.518717202795</v>
      </c>
      <c r="G129" s="398"/>
      <c r="H129" s="291">
        <f t="shared" si="102"/>
        <v>52632.518717202795</v>
      </c>
      <c r="I129" s="393"/>
      <c r="J129" s="290">
        <f>'Qtr 2 Budget'!L129</f>
        <v>50000</v>
      </c>
      <c r="K129" s="398"/>
      <c r="L129" s="291">
        <f t="shared" si="103"/>
        <v>50000</v>
      </c>
      <c r="M129" s="399"/>
      <c r="N129" s="290">
        <f t="shared" si="104"/>
        <v>102632.51871720279</v>
      </c>
      <c r="O129" s="291">
        <f t="shared" si="105"/>
        <v>0</v>
      </c>
      <c r="P129" s="291">
        <f t="shared" si="106"/>
        <v>102632.51871720279</v>
      </c>
      <c r="Q129" s="289">
        <f t="shared" si="107"/>
        <v>0</v>
      </c>
      <c r="R129" s="251">
        <f t="shared" si="108"/>
        <v>1.9966043656650004E-2</v>
      </c>
      <c r="S129" s="251">
        <f t="shared" si="109"/>
        <v>0</v>
      </c>
      <c r="T129" s="407"/>
    </row>
    <row r="130" spans="1:20" ht="15" customHeight="1">
      <c r="A130" s="256">
        <f t="shared" si="55"/>
        <v>120</v>
      </c>
      <c r="B130" s="257"/>
      <c r="C130" s="257" t="s">
        <v>104</v>
      </c>
      <c r="D130" s="341"/>
      <c r="E130" s="293">
        <v>500</v>
      </c>
      <c r="F130" s="294">
        <f>SUM(F121:F129)</f>
        <v>719142.51871720282</v>
      </c>
      <c r="G130" s="295">
        <f t="shared" ref="G130:Q130" si="110">SUM(G121:G129)</f>
        <v>0</v>
      </c>
      <c r="H130" s="295">
        <f t="shared" si="110"/>
        <v>719142.51871720282</v>
      </c>
      <c r="I130" s="296">
        <f t="shared" si="110"/>
        <v>0</v>
      </c>
      <c r="J130" s="294">
        <f t="shared" si="110"/>
        <v>100000</v>
      </c>
      <c r="K130" s="295">
        <f t="shared" si="110"/>
        <v>0</v>
      </c>
      <c r="L130" s="295">
        <f t="shared" si="110"/>
        <v>100000</v>
      </c>
      <c r="M130" s="296">
        <f t="shared" si="110"/>
        <v>0</v>
      </c>
      <c r="N130" s="294">
        <f t="shared" si="110"/>
        <v>819142.51871720282</v>
      </c>
      <c r="O130" s="295">
        <f t="shared" si="110"/>
        <v>0</v>
      </c>
      <c r="P130" s="295">
        <f t="shared" si="110"/>
        <v>819142.51871720282</v>
      </c>
      <c r="Q130" s="297">
        <f t="shared" si="110"/>
        <v>0</v>
      </c>
      <c r="R130" s="263">
        <f t="shared" si="108"/>
        <v>0.15935529493133796</v>
      </c>
      <c r="S130" s="263">
        <f t="shared" si="109"/>
        <v>0</v>
      </c>
      <c r="T130" s="408"/>
    </row>
    <row r="131" spans="1:20" ht="15" customHeight="1">
      <c r="A131" s="234">
        <f t="shared" si="55"/>
        <v>121</v>
      </c>
      <c r="B131" s="235" t="s">
        <v>83</v>
      </c>
      <c r="C131" s="235"/>
      <c r="D131" s="236"/>
      <c r="E131" s="237"/>
      <c r="F131" s="299"/>
      <c r="G131" s="300"/>
      <c r="H131" s="300"/>
      <c r="I131" s="240"/>
      <c r="J131" s="299"/>
      <c r="K131" s="300"/>
      <c r="L131" s="300"/>
      <c r="M131" s="301"/>
      <c r="N131" s="299"/>
      <c r="O131" s="300"/>
      <c r="P131" s="300"/>
      <c r="Q131" s="289"/>
      <c r="R131" s="251"/>
      <c r="S131" s="251"/>
      <c r="T131" s="414"/>
    </row>
    <row r="132" spans="1:20" ht="15" customHeight="1">
      <c r="A132" s="243">
        <f t="shared" si="55"/>
        <v>122</v>
      </c>
      <c r="B132" s="302"/>
      <c r="C132" s="303" t="s">
        <v>39</v>
      </c>
      <c r="D132" s="231"/>
      <c r="E132" s="245">
        <v>610</v>
      </c>
      <c r="F132" s="290">
        <f>'Qtr 2 Budget'!H132</f>
        <v>138750</v>
      </c>
      <c r="G132" s="398"/>
      <c r="H132" s="291">
        <f t="shared" ref="H132:H136" si="111">SUM(F132:G132)</f>
        <v>138750</v>
      </c>
      <c r="I132" s="393"/>
      <c r="J132" s="290">
        <f>'Qtr 2 Budget'!L132</f>
        <v>50000</v>
      </c>
      <c r="K132" s="398"/>
      <c r="L132" s="291">
        <f t="shared" ref="L132:L136" si="112">SUM(J132:K132)</f>
        <v>50000</v>
      </c>
      <c r="M132" s="399"/>
      <c r="N132" s="290">
        <f t="shared" ref="N132:N136" si="113">F132+J132</f>
        <v>188750</v>
      </c>
      <c r="O132" s="291">
        <f t="shared" ref="O132:O136" si="114">K132+G132</f>
        <v>0</v>
      </c>
      <c r="P132" s="291">
        <f t="shared" ref="P132:P136" si="115">SUM(N132:O132)</f>
        <v>188750</v>
      </c>
      <c r="Q132" s="289">
        <f t="shared" ref="Q132:Q136" si="116">M132+I132</f>
        <v>0</v>
      </c>
      <c r="R132" s="251">
        <f t="shared" ref="R132:R137" si="117">P132/$P$156</f>
        <v>3.6719265855462382E-2</v>
      </c>
      <c r="S132" s="251">
        <f t="shared" ref="S132:S137" si="118">IFERROR(Q132/P132,"")</f>
        <v>0</v>
      </c>
      <c r="T132" s="407"/>
    </row>
    <row r="133" spans="1:20" ht="15" customHeight="1">
      <c r="A133" s="243">
        <f t="shared" si="55"/>
        <v>123</v>
      </c>
      <c r="B133" s="302"/>
      <c r="C133" s="303" t="s">
        <v>71</v>
      </c>
      <c r="D133" s="231"/>
      <c r="E133" s="245" t="s">
        <v>18</v>
      </c>
      <c r="F133" s="290">
        <f>'Qtr 2 Budget'!H133</f>
        <v>112500</v>
      </c>
      <c r="G133" s="398"/>
      <c r="H133" s="291">
        <f t="shared" si="111"/>
        <v>112500</v>
      </c>
      <c r="I133" s="393"/>
      <c r="J133" s="290">
        <f>'Qtr 2 Budget'!L133</f>
        <v>0</v>
      </c>
      <c r="K133" s="398"/>
      <c r="L133" s="291">
        <f t="shared" si="112"/>
        <v>0</v>
      </c>
      <c r="M133" s="399"/>
      <c r="N133" s="290">
        <f t="shared" si="113"/>
        <v>112500</v>
      </c>
      <c r="O133" s="291">
        <f t="shared" si="114"/>
        <v>0</v>
      </c>
      <c r="P133" s="291">
        <f t="shared" si="115"/>
        <v>112500</v>
      </c>
      <c r="Q133" s="289">
        <f t="shared" si="116"/>
        <v>0</v>
      </c>
      <c r="R133" s="251">
        <f t="shared" si="117"/>
        <v>2.188565514563983E-2</v>
      </c>
      <c r="S133" s="251">
        <f t="shared" si="118"/>
        <v>0</v>
      </c>
      <c r="T133" s="407"/>
    </row>
    <row r="134" spans="1:20" ht="17.25" customHeight="1">
      <c r="A134" s="243">
        <f t="shared" si="55"/>
        <v>124</v>
      </c>
      <c r="B134" s="302"/>
      <c r="C134" s="303" t="s">
        <v>37</v>
      </c>
      <c r="D134" s="231"/>
      <c r="E134" s="245" t="s">
        <v>101</v>
      </c>
      <c r="F134" s="290">
        <f>'Qtr 2 Budget'!H134</f>
        <v>0</v>
      </c>
      <c r="G134" s="398"/>
      <c r="H134" s="291">
        <f t="shared" si="111"/>
        <v>0</v>
      </c>
      <c r="I134" s="393"/>
      <c r="J134" s="290">
        <f>'Qtr 2 Budget'!L134</f>
        <v>0</v>
      </c>
      <c r="K134" s="398"/>
      <c r="L134" s="291">
        <f t="shared" si="112"/>
        <v>0</v>
      </c>
      <c r="M134" s="399"/>
      <c r="N134" s="290">
        <f t="shared" si="113"/>
        <v>0</v>
      </c>
      <c r="O134" s="291">
        <f t="shared" si="114"/>
        <v>0</v>
      </c>
      <c r="P134" s="291">
        <f t="shared" si="115"/>
        <v>0</v>
      </c>
      <c r="Q134" s="289">
        <f t="shared" si="116"/>
        <v>0</v>
      </c>
      <c r="R134" s="251">
        <f t="shared" si="117"/>
        <v>0</v>
      </c>
      <c r="S134" s="251" t="str">
        <f t="shared" si="118"/>
        <v/>
      </c>
      <c r="T134" s="407"/>
    </row>
    <row r="135" spans="1:20" ht="17.25" customHeight="1">
      <c r="A135" s="243">
        <f t="shared" si="55"/>
        <v>125</v>
      </c>
      <c r="B135" s="302"/>
      <c r="C135" s="244" t="s">
        <v>72</v>
      </c>
      <c r="D135" s="231"/>
      <c r="E135" s="245" t="s">
        <v>132</v>
      </c>
      <c r="F135" s="290">
        <f>'Qtr 2 Budget'!H135</f>
        <v>37500</v>
      </c>
      <c r="G135" s="398"/>
      <c r="H135" s="291">
        <f t="shared" si="111"/>
        <v>37500</v>
      </c>
      <c r="I135" s="393"/>
      <c r="J135" s="290">
        <f>'Qtr 2 Budget'!L135</f>
        <v>0</v>
      </c>
      <c r="K135" s="398"/>
      <c r="L135" s="291">
        <f t="shared" si="112"/>
        <v>0</v>
      </c>
      <c r="M135" s="399"/>
      <c r="N135" s="290">
        <f t="shared" si="113"/>
        <v>37500</v>
      </c>
      <c r="O135" s="291">
        <f t="shared" si="114"/>
        <v>0</v>
      </c>
      <c r="P135" s="291">
        <f t="shared" si="115"/>
        <v>37500</v>
      </c>
      <c r="Q135" s="289">
        <f t="shared" si="116"/>
        <v>0</v>
      </c>
      <c r="R135" s="251">
        <f t="shared" si="117"/>
        <v>7.2952183818799435E-3</v>
      </c>
      <c r="S135" s="251">
        <f t="shared" si="118"/>
        <v>0</v>
      </c>
      <c r="T135" s="407"/>
    </row>
    <row r="136" spans="1:20" ht="15" customHeight="1">
      <c r="A136" s="243">
        <f t="shared" si="55"/>
        <v>126</v>
      </c>
      <c r="B136" s="302"/>
      <c r="C136" s="288" t="s">
        <v>202</v>
      </c>
      <c r="D136" s="231"/>
      <c r="E136" s="245" t="s">
        <v>38</v>
      </c>
      <c r="F136" s="290">
        <f>'Qtr 2 Budget'!H136</f>
        <v>57500</v>
      </c>
      <c r="G136" s="398"/>
      <c r="H136" s="291">
        <f t="shared" si="111"/>
        <v>57500</v>
      </c>
      <c r="I136" s="393"/>
      <c r="J136" s="290">
        <f>'Qtr 2 Budget'!L136</f>
        <v>0</v>
      </c>
      <c r="K136" s="398"/>
      <c r="L136" s="291">
        <f t="shared" si="112"/>
        <v>0</v>
      </c>
      <c r="M136" s="399"/>
      <c r="N136" s="290">
        <f t="shared" si="113"/>
        <v>57500</v>
      </c>
      <c r="O136" s="291">
        <f t="shared" si="114"/>
        <v>0</v>
      </c>
      <c r="P136" s="291">
        <f t="shared" si="115"/>
        <v>57500</v>
      </c>
      <c r="Q136" s="289">
        <f t="shared" si="116"/>
        <v>0</v>
      </c>
      <c r="R136" s="251">
        <f t="shared" si="117"/>
        <v>1.118600151888258E-2</v>
      </c>
      <c r="S136" s="251">
        <f t="shared" si="118"/>
        <v>0</v>
      </c>
      <c r="T136" s="407"/>
    </row>
    <row r="137" spans="1:20" ht="15" customHeight="1">
      <c r="A137" s="256">
        <f t="shared" si="55"/>
        <v>127</v>
      </c>
      <c r="B137" s="257"/>
      <c r="C137" s="257" t="s">
        <v>84</v>
      </c>
      <c r="D137" s="341"/>
      <c r="E137" s="293">
        <v>600</v>
      </c>
      <c r="F137" s="294">
        <f>SUM(F132:F136)</f>
        <v>346250</v>
      </c>
      <c r="G137" s="295">
        <f t="shared" ref="G137:Q137" si="119">SUM(G132:G136)</f>
        <v>0</v>
      </c>
      <c r="H137" s="295">
        <f t="shared" si="119"/>
        <v>346250</v>
      </c>
      <c r="I137" s="296">
        <f t="shared" si="119"/>
        <v>0</v>
      </c>
      <c r="J137" s="294">
        <f t="shared" si="119"/>
        <v>50000</v>
      </c>
      <c r="K137" s="295">
        <f t="shared" si="119"/>
        <v>0</v>
      </c>
      <c r="L137" s="295">
        <f t="shared" si="119"/>
        <v>50000</v>
      </c>
      <c r="M137" s="296">
        <f t="shared" si="119"/>
        <v>0</v>
      </c>
      <c r="N137" s="294">
        <f t="shared" si="119"/>
        <v>396250</v>
      </c>
      <c r="O137" s="295">
        <f t="shared" si="119"/>
        <v>0</v>
      </c>
      <c r="P137" s="295">
        <f t="shared" si="119"/>
        <v>396250</v>
      </c>
      <c r="Q137" s="297">
        <f t="shared" si="119"/>
        <v>0</v>
      </c>
      <c r="R137" s="263">
        <f t="shared" si="117"/>
        <v>7.7086140901864733E-2</v>
      </c>
      <c r="S137" s="263">
        <f t="shared" si="118"/>
        <v>0</v>
      </c>
      <c r="T137" s="408"/>
    </row>
    <row r="138" spans="1:20" ht="15" customHeight="1">
      <c r="A138" s="234">
        <f t="shared" si="55"/>
        <v>128</v>
      </c>
      <c r="B138" s="235" t="s">
        <v>85</v>
      </c>
      <c r="C138" s="235"/>
      <c r="D138" s="236"/>
      <c r="E138" s="237"/>
      <c r="F138" s="299"/>
      <c r="G138" s="300"/>
      <c r="H138" s="300"/>
      <c r="I138" s="240"/>
      <c r="J138" s="299"/>
      <c r="K138" s="300"/>
      <c r="L138" s="300"/>
      <c r="M138" s="301"/>
      <c r="N138" s="299"/>
      <c r="O138" s="300"/>
      <c r="P138" s="300"/>
      <c r="Q138" s="289"/>
      <c r="R138" s="251"/>
      <c r="S138" s="251"/>
      <c r="T138" s="414"/>
    </row>
    <row r="139" spans="1:20" ht="15" customHeight="1">
      <c r="A139" s="243">
        <f t="shared" si="55"/>
        <v>129</v>
      </c>
      <c r="B139" s="302"/>
      <c r="C139" s="288" t="s">
        <v>122</v>
      </c>
      <c r="D139" s="231"/>
      <c r="E139" s="245">
        <v>710</v>
      </c>
      <c r="F139" s="290">
        <f>'Qtr 2 Budget'!H139</f>
        <v>0</v>
      </c>
      <c r="G139" s="398"/>
      <c r="H139" s="291">
        <f t="shared" ref="H139:H142" si="120">SUM(F139:G139)</f>
        <v>0</v>
      </c>
      <c r="I139" s="393"/>
      <c r="J139" s="290">
        <f>'Qtr 2 Budget'!L139</f>
        <v>0</v>
      </c>
      <c r="K139" s="398"/>
      <c r="L139" s="291">
        <f t="shared" ref="L139:L142" si="121">SUM(J139:K139)</f>
        <v>0</v>
      </c>
      <c r="M139" s="399"/>
      <c r="N139" s="290">
        <f t="shared" ref="N139:N142" si="122">F139+J139</f>
        <v>0</v>
      </c>
      <c r="O139" s="291">
        <f t="shared" ref="O139:O142" si="123">K139+G139</f>
        <v>0</v>
      </c>
      <c r="P139" s="291">
        <f t="shared" ref="P139:P142" si="124">SUM(N139:O139)</f>
        <v>0</v>
      </c>
      <c r="Q139" s="289">
        <f t="shared" ref="Q139:Q142" si="125">M139+I139</f>
        <v>0</v>
      </c>
      <c r="R139" s="251">
        <f t="shared" ref="R139:R143" si="126">P139/$P$156</f>
        <v>0</v>
      </c>
      <c r="S139" s="251" t="str">
        <f t="shared" ref="S139:S143" si="127">IFERROR(Q139/P139,"")</f>
        <v/>
      </c>
      <c r="T139" s="407"/>
    </row>
    <row r="140" spans="1:20" ht="17.25" customHeight="1">
      <c r="A140" s="243">
        <f t="shared" si="55"/>
        <v>130</v>
      </c>
      <c r="B140" s="302"/>
      <c r="C140" s="288" t="s">
        <v>73</v>
      </c>
      <c r="D140" s="231"/>
      <c r="E140" s="245">
        <v>720</v>
      </c>
      <c r="F140" s="290">
        <f>'Qtr 2 Budget'!H140</f>
        <v>0</v>
      </c>
      <c r="G140" s="398"/>
      <c r="H140" s="291">
        <f t="shared" si="120"/>
        <v>0</v>
      </c>
      <c r="I140" s="393"/>
      <c r="J140" s="290">
        <f>'Qtr 2 Budget'!L140</f>
        <v>0</v>
      </c>
      <c r="K140" s="398"/>
      <c r="L140" s="291">
        <f t="shared" si="121"/>
        <v>0</v>
      </c>
      <c r="M140" s="399"/>
      <c r="N140" s="290">
        <f t="shared" si="122"/>
        <v>0</v>
      </c>
      <c r="O140" s="291">
        <f t="shared" si="123"/>
        <v>0</v>
      </c>
      <c r="P140" s="291">
        <f t="shared" si="124"/>
        <v>0</v>
      </c>
      <c r="Q140" s="289">
        <f t="shared" si="125"/>
        <v>0</v>
      </c>
      <c r="R140" s="251">
        <f t="shared" si="126"/>
        <v>0</v>
      </c>
      <c r="S140" s="251" t="str">
        <f t="shared" si="127"/>
        <v/>
      </c>
      <c r="T140" s="407"/>
    </row>
    <row r="141" spans="1:20" ht="17.25" customHeight="1">
      <c r="A141" s="243">
        <f t="shared" si="55"/>
        <v>131</v>
      </c>
      <c r="B141" s="302"/>
      <c r="C141" s="303" t="s">
        <v>19</v>
      </c>
      <c r="D141" s="231"/>
      <c r="E141" s="245" t="s">
        <v>123</v>
      </c>
      <c r="F141" s="290">
        <f>'Qtr 2 Budget'!H141</f>
        <v>0</v>
      </c>
      <c r="G141" s="398"/>
      <c r="H141" s="291">
        <f t="shared" si="120"/>
        <v>0</v>
      </c>
      <c r="I141" s="393"/>
      <c r="J141" s="290">
        <f>'Qtr 2 Budget'!L141</f>
        <v>0</v>
      </c>
      <c r="K141" s="398"/>
      <c r="L141" s="291">
        <f t="shared" si="121"/>
        <v>0</v>
      </c>
      <c r="M141" s="399"/>
      <c r="N141" s="290">
        <f t="shared" si="122"/>
        <v>0</v>
      </c>
      <c r="O141" s="291">
        <f t="shared" si="123"/>
        <v>0</v>
      </c>
      <c r="P141" s="291">
        <f t="shared" si="124"/>
        <v>0</v>
      </c>
      <c r="Q141" s="289">
        <f t="shared" si="125"/>
        <v>0</v>
      </c>
      <c r="R141" s="251">
        <f t="shared" si="126"/>
        <v>0</v>
      </c>
      <c r="S141" s="251" t="str">
        <f t="shared" si="127"/>
        <v/>
      </c>
      <c r="T141" s="407"/>
    </row>
    <row r="142" spans="1:20" ht="14.25" customHeight="1">
      <c r="A142" s="243">
        <f t="shared" ref="A142:A156" si="128">A141+1</f>
        <v>132</v>
      </c>
      <c r="B142" s="244"/>
      <c r="C142" s="303" t="s">
        <v>203</v>
      </c>
      <c r="D142" s="231"/>
      <c r="E142" s="245" t="s">
        <v>124</v>
      </c>
      <c r="F142" s="290">
        <f>'Qtr 2 Budget'!H142</f>
        <v>0</v>
      </c>
      <c r="G142" s="398"/>
      <c r="H142" s="291">
        <f t="shared" si="120"/>
        <v>0</v>
      </c>
      <c r="I142" s="393"/>
      <c r="J142" s="290">
        <f>'Qtr 2 Budget'!L142</f>
        <v>0</v>
      </c>
      <c r="K142" s="398"/>
      <c r="L142" s="291">
        <f t="shared" si="121"/>
        <v>0</v>
      </c>
      <c r="M142" s="399"/>
      <c r="N142" s="290">
        <f t="shared" si="122"/>
        <v>0</v>
      </c>
      <c r="O142" s="291">
        <f t="shared" si="123"/>
        <v>0</v>
      </c>
      <c r="P142" s="291">
        <f t="shared" si="124"/>
        <v>0</v>
      </c>
      <c r="Q142" s="289">
        <f t="shared" si="125"/>
        <v>0</v>
      </c>
      <c r="R142" s="251">
        <f t="shared" si="126"/>
        <v>0</v>
      </c>
      <c r="S142" s="251" t="str">
        <f t="shared" si="127"/>
        <v/>
      </c>
      <c r="T142" s="407"/>
    </row>
    <row r="143" spans="1:20" ht="15" customHeight="1">
      <c r="A143" s="256">
        <f t="shared" si="128"/>
        <v>133</v>
      </c>
      <c r="B143" s="257"/>
      <c r="C143" s="257" t="s">
        <v>86</v>
      </c>
      <c r="D143" s="341"/>
      <c r="E143" s="293">
        <v>700</v>
      </c>
      <c r="F143" s="294">
        <f>SUM(F139:F142)</f>
        <v>0</v>
      </c>
      <c r="G143" s="295">
        <f t="shared" ref="G143:Q143" si="129">SUM(G139:G142)</f>
        <v>0</v>
      </c>
      <c r="H143" s="295">
        <f t="shared" si="129"/>
        <v>0</v>
      </c>
      <c r="I143" s="296">
        <f t="shared" si="129"/>
        <v>0</v>
      </c>
      <c r="J143" s="294">
        <f t="shared" si="129"/>
        <v>0</v>
      </c>
      <c r="K143" s="295">
        <f t="shared" si="129"/>
        <v>0</v>
      </c>
      <c r="L143" s="295">
        <f t="shared" si="129"/>
        <v>0</v>
      </c>
      <c r="M143" s="296">
        <f t="shared" si="129"/>
        <v>0</v>
      </c>
      <c r="N143" s="294">
        <f t="shared" si="129"/>
        <v>0</v>
      </c>
      <c r="O143" s="295">
        <f t="shared" si="129"/>
        <v>0</v>
      </c>
      <c r="P143" s="295">
        <f t="shared" si="129"/>
        <v>0</v>
      </c>
      <c r="Q143" s="297">
        <f t="shared" si="129"/>
        <v>0</v>
      </c>
      <c r="R143" s="263">
        <f t="shared" si="126"/>
        <v>0</v>
      </c>
      <c r="S143" s="263" t="str">
        <f t="shared" si="127"/>
        <v/>
      </c>
      <c r="T143" s="408"/>
    </row>
    <row r="144" spans="1:20" ht="15" customHeight="1">
      <c r="A144" s="234">
        <f t="shared" si="128"/>
        <v>134</v>
      </c>
      <c r="B144" s="235" t="s">
        <v>87</v>
      </c>
      <c r="C144" s="235"/>
      <c r="D144" s="236"/>
      <c r="E144" s="237"/>
      <c r="F144" s="299"/>
      <c r="G144" s="300"/>
      <c r="H144" s="300"/>
      <c r="I144" s="240"/>
      <c r="J144" s="299"/>
      <c r="K144" s="300"/>
      <c r="L144" s="300"/>
      <c r="M144" s="301"/>
      <c r="N144" s="299"/>
      <c r="O144" s="300"/>
      <c r="P144" s="300"/>
      <c r="Q144" s="289"/>
      <c r="R144" s="251"/>
      <c r="S144" s="251"/>
      <c r="T144" s="414"/>
    </row>
    <row r="145" spans="1:20" ht="15" customHeight="1">
      <c r="A145" s="243">
        <f t="shared" si="128"/>
        <v>135</v>
      </c>
      <c r="B145" s="302"/>
      <c r="C145" s="303" t="s">
        <v>144</v>
      </c>
      <c r="D145" s="231"/>
      <c r="E145" s="245">
        <v>810</v>
      </c>
      <c r="F145" s="290">
        <f>'Qtr 2 Budget'!H145</f>
        <v>71000</v>
      </c>
      <c r="G145" s="398"/>
      <c r="H145" s="291">
        <f t="shared" ref="H145:H149" si="130">SUM(F145:G145)</f>
        <v>71000</v>
      </c>
      <c r="I145" s="393"/>
      <c r="J145" s="290">
        <f>'Qtr 2 Budget'!L145</f>
        <v>0</v>
      </c>
      <c r="K145" s="398"/>
      <c r="L145" s="291">
        <f t="shared" ref="L145:L149" si="131">SUM(J145:K145)</f>
        <v>0</v>
      </c>
      <c r="M145" s="399"/>
      <c r="N145" s="290">
        <f t="shared" ref="N145:N149" si="132">F145+J145</f>
        <v>71000</v>
      </c>
      <c r="O145" s="291">
        <f t="shared" ref="O145:O149" si="133">K145+G145</f>
        <v>0</v>
      </c>
      <c r="P145" s="291">
        <f t="shared" ref="P145:P149" si="134">SUM(N145:O145)</f>
        <v>71000</v>
      </c>
      <c r="Q145" s="289">
        <f t="shared" ref="Q145:Q149" si="135">M145+I145</f>
        <v>0</v>
      </c>
      <c r="R145" s="251">
        <f t="shared" ref="R145:R150" si="136">P145/$P$156</f>
        <v>1.3812280136359359E-2</v>
      </c>
      <c r="S145" s="251">
        <f t="shared" ref="S145:S150" si="137">IFERROR(Q145/P145,"")</f>
        <v>0</v>
      </c>
      <c r="T145" s="407"/>
    </row>
    <row r="146" spans="1:20" ht="15" customHeight="1">
      <c r="A146" s="243">
        <f t="shared" si="128"/>
        <v>136</v>
      </c>
      <c r="B146" s="302"/>
      <c r="C146" s="303" t="s">
        <v>145</v>
      </c>
      <c r="D146" s="231"/>
      <c r="E146" s="245">
        <v>810</v>
      </c>
      <c r="F146" s="290">
        <f>'Qtr 2 Budget'!H146</f>
        <v>0</v>
      </c>
      <c r="G146" s="398"/>
      <c r="H146" s="291">
        <f t="shared" si="130"/>
        <v>0</v>
      </c>
      <c r="I146" s="393"/>
      <c r="J146" s="290">
        <f>'Qtr 2 Budget'!L146</f>
        <v>0</v>
      </c>
      <c r="K146" s="398"/>
      <c r="L146" s="291">
        <f t="shared" si="131"/>
        <v>0</v>
      </c>
      <c r="M146" s="399"/>
      <c r="N146" s="290">
        <f t="shared" si="132"/>
        <v>0</v>
      </c>
      <c r="O146" s="291">
        <f t="shared" si="133"/>
        <v>0</v>
      </c>
      <c r="P146" s="291">
        <f t="shared" si="134"/>
        <v>0</v>
      </c>
      <c r="Q146" s="289">
        <f t="shared" si="135"/>
        <v>0</v>
      </c>
      <c r="R146" s="251">
        <f t="shared" si="136"/>
        <v>0</v>
      </c>
      <c r="S146" s="251" t="str">
        <f t="shared" si="137"/>
        <v/>
      </c>
      <c r="T146" s="407"/>
    </row>
    <row r="147" spans="1:20" ht="17.25" customHeight="1">
      <c r="A147" s="243">
        <f t="shared" si="128"/>
        <v>137</v>
      </c>
      <c r="B147" s="302"/>
      <c r="C147" s="288" t="s">
        <v>25</v>
      </c>
      <c r="D147" s="231"/>
      <c r="E147" s="245">
        <v>830</v>
      </c>
      <c r="F147" s="290">
        <f>'Qtr 2 Budget'!H147</f>
        <v>0</v>
      </c>
      <c r="G147" s="398"/>
      <c r="H147" s="291">
        <f t="shared" si="130"/>
        <v>0</v>
      </c>
      <c r="I147" s="393"/>
      <c r="J147" s="290">
        <f>'Qtr 2 Budget'!L147</f>
        <v>0</v>
      </c>
      <c r="K147" s="398"/>
      <c r="L147" s="291">
        <f t="shared" si="131"/>
        <v>0</v>
      </c>
      <c r="M147" s="399"/>
      <c r="N147" s="290">
        <f t="shared" si="132"/>
        <v>0</v>
      </c>
      <c r="O147" s="291">
        <f t="shared" si="133"/>
        <v>0</v>
      </c>
      <c r="P147" s="291">
        <f t="shared" si="134"/>
        <v>0</v>
      </c>
      <c r="Q147" s="289">
        <f t="shared" si="135"/>
        <v>0</v>
      </c>
      <c r="R147" s="251">
        <f t="shared" si="136"/>
        <v>0</v>
      </c>
      <c r="S147" s="251" t="str">
        <f t="shared" si="137"/>
        <v/>
      </c>
      <c r="T147" s="407"/>
    </row>
    <row r="148" spans="1:20" ht="17.25" customHeight="1">
      <c r="A148" s="243">
        <f t="shared" si="128"/>
        <v>138</v>
      </c>
      <c r="B148" s="302"/>
      <c r="C148" s="288" t="s">
        <v>127</v>
      </c>
      <c r="D148" s="231"/>
      <c r="E148" s="245">
        <v>831</v>
      </c>
      <c r="F148" s="290">
        <f>'Qtr 2 Budget'!H148</f>
        <v>0</v>
      </c>
      <c r="G148" s="398"/>
      <c r="H148" s="291">
        <f t="shared" si="130"/>
        <v>0</v>
      </c>
      <c r="I148" s="393"/>
      <c r="J148" s="290">
        <f>'Qtr 2 Budget'!L148</f>
        <v>0</v>
      </c>
      <c r="K148" s="398"/>
      <c r="L148" s="291">
        <f t="shared" si="131"/>
        <v>0</v>
      </c>
      <c r="M148" s="399"/>
      <c r="N148" s="290">
        <f t="shared" si="132"/>
        <v>0</v>
      </c>
      <c r="O148" s="291">
        <f t="shared" si="133"/>
        <v>0</v>
      </c>
      <c r="P148" s="291">
        <f t="shared" si="134"/>
        <v>0</v>
      </c>
      <c r="Q148" s="289">
        <f t="shared" si="135"/>
        <v>0</v>
      </c>
      <c r="R148" s="251">
        <f t="shared" si="136"/>
        <v>0</v>
      </c>
      <c r="S148" s="251" t="str">
        <f t="shared" si="137"/>
        <v/>
      </c>
      <c r="T148" s="407"/>
    </row>
    <row r="149" spans="1:20" ht="15" customHeight="1">
      <c r="A149" s="243">
        <f t="shared" si="128"/>
        <v>139</v>
      </c>
      <c r="B149" s="302"/>
      <c r="C149" s="288" t="s">
        <v>204</v>
      </c>
      <c r="D149" s="231"/>
      <c r="E149" s="245" t="s">
        <v>125</v>
      </c>
      <c r="F149" s="290">
        <f>'Qtr 2 Budget'!H149</f>
        <v>0</v>
      </c>
      <c r="G149" s="398"/>
      <c r="H149" s="291">
        <f t="shared" si="130"/>
        <v>0</v>
      </c>
      <c r="I149" s="393"/>
      <c r="J149" s="290">
        <f>'Qtr 2 Budget'!L149</f>
        <v>0</v>
      </c>
      <c r="K149" s="398"/>
      <c r="L149" s="291">
        <f t="shared" si="131"/>
        <v>0</v>
      </c>
      <c r="M149" s="399"/>
      <c r="N149" s="290">
        <f t="shared" si="132"/>
        <v>0</v>
      </c>
      <c r="O149" s="291">
        <f t="shared" si="133"/>
        <v>0</v>
      </c>
      <c r="P149" s="291">
        <f t="shared" si="134"/>
        <v>0</v>
      </c>
      <c r="Q149" s="289">
        <f t="shared" si="135"/>
        <v>0</v>
      </c>
      <c r="R149" s="251">
        <f t="shared" si="136"/>
        <v>0</v>
      </c>
      <c r="S149" s="251" t="str">
        <f t="shared" si="137"/>
        <v/>
      </c>
      <c r="T149" s="407"/>
    </row>
    <row r="150" spans="1:20" ht="15" customHeight="1">
      <c r="A150" s="243">
        <f t="shared" si="128"/>
        <v>140</v>
      </c>
      <c r="B150" s="257"/>
      <c r="C150" s="257" t="s">
        <v>88</v>
      </c>
      <c r="D150" s="341"/>
      <c r="E150" s="293">
        <v>800</v>
      </c>
      <c r="F150" s="294">
        <f>SUM(F145:F149)</f>
        <v>71000</v>
      </c>
      <c r="G150" s="295">
        <f t="shared" ref="G150:Q150" si="138">SUM(G145:G149)</f>
        <v>0</v>
      </c>
      <c r="H150" s="295">
        <f t="shared" si="138"/>
        <v>71000</v>
      </c>
      <c r="I150" s="296">
        <f t="shared" si="138"/>
        <v>0</v>
      </c>
      <c r="J150" s="294">
        <f t="shared" si="138"/>
        <v>0</v>
      </c>
      <c r="K150" s="295">
        <f t="shared" si="138"/>
        <v>0</v>
      </c>
      <c r="L150" s="295">
        <f t="shared" si="138"/>
        <v>0</v>
      </c>
      <c r="M150" s="296">
        <f t="shared" si="138"/>
        <v>0</v>
      </c>
      <c r="N150" s="294">
        <f t="shared" si="138"/>
        <v>71000</v>
      </c>
      <c r="O150" s="295">
        <f t="shared" si="138"/>
        <v>0</v>
      </c>
      <c r="P150" s="295">
        <f t="shared" si="138"/>
        <v>71000</v>
      </c>
      <c r="Q150" s="297">
        <f t="shared" si="138"/>
        <v>0</v>
      </c>
      <c r="R150" s="263">
        <f t="shared" si="136"/>
        <v>1.3812280136359359E-2</v>
      </c>
      <c r="S150" s="263">
        <f t="shared" si="137"/>
        <v>0</v>
      </c>
      <c r="T150" s="408"/>
    </row>
    <row r="151" spans="1:20" ht="15" customHeight="1">
      <c r="A151" s="342">
        <f t="shared" si="128"/>
        <v>141</v>
      </c>
      <c r="B151" s="235" t="s">
        <v>90</v>
      </c>
      <c r="C151" s="235"/>
      <c r="D151" s="236"/>
      <c r="E151" s="237"/>
      <c r="F151" s="299"/>
      <c r="G151" s="300"/>
      <c r="H151" s="300"/>
      <c r="I151" s="240"/>
      <c r="J151" s="299"/>
      <c r="K151" s="300"/>
      <c r="L151" s="300"/>
      <c r="M151" s="301"/>
      <c r="N151" s="299"/>
      <c r="O151" s="300"/>
      <c r="P151" s="300"/>
      <c r="Q151" s="289"/>
      <c r="R151" s="251"/>
      <c r="S151" s="251"/>
      <c r="T151" s="414"/>
    </row>
    <row r="152" spans="1:20" ht="17.25" customHeight="1">
      <c r="A152" s="243">
        <f t="shared" si="128"/>
        <v>142</v>
      </c>
      <c r="B152" s="302"/>
      <c r="C152" s="244" t="s">
        <v>20</v>
      </c>
      <c r="D152" s="231"/>
      <c r="E152" s="245">
        <v>933</v>
      </c>
      <c r="F152" s="290">
        <f>'Qtr 2 Budget'!H152</f>
        <v>0</v>
      </c>
      <c r="G152" s="398"/>
      <c r="H152" s="291">
        <f t="shared" ref="H152:H154" si="139">SUM(F152:G152)</f>
        <v>0</v>
      </c>
      <c r="I152" s="393"/>
      <c r="J152" s="290">
        <f>'Qtr 2 Budget'!L152</f>
        <v>0</v>
      </c>
      <c r="K152" s="398"/>
      <c r="L152" s="291">
        <f t="shared" ref="L152:L154" si="140">SUM(J152:K152)</f>
        <v>0</v>
      </c>
      <c r="M152" s="399"/>
      <c r="N152" s="290">
        <f t="shared" ref="N152:N154" si="141">F152+J152</f>
        <v>0</v>
      </c>
      <c r="O152" s="291">
        <f t="shared" ref="O152:O154" si="142">K152+G152</f>
        <v>0</v>
      </c>
      <c r="P152" s="291">
        <f t="shared" ref="P152:P154" si="143">SUM(N152:O152)</f>
        <v>0</v>
      </c>
      <c r="Q152" s="289">
        <f t="shared" ref="Q152:Q154" si="144">M152+I152</f>
        <v>0</v>
      </c>
      <c r="R152" s="251">
        <f t="shared" ref="R152:R156" si="145">P152/$P$156</f>
        <v>0</v>
      </c>
      <c r="S152" s="251" t="str">
        <f t="shared" ref="S152:S156" si="146">IFERROR(Q152/P152,"")</f>
        <v/>
      </c>
      <c r="T152" s="407"/>
    </row>
    <row r="153" spans="1:20" ht="17.25" customHeight="1">
      <c r="A153" s="243">
        <f t="shared" si="128"/>
        <v>143</v>
      </c>
      <c r="B153" s="302"/>
      <c r="C153" s="244" t="s">
        <v>205</v>
      </c>
      <c r="D153" s="231"/>
      <c r="E153" s="245" t="s">
        <v>126</v>
      </c>
      <c r="F153" s="290">
        <f>'Qtr 2 Budget'!H153</f>
        <v>0</v>
      </c>
      <c r="G153" s="398"/>
      <c r="H153" s="291">
        <f t="shared" si="139"/>
        <v>0</v>
      </c>
      <c r="I153" s="393"/>
      <c r="J153" s="290">
        <f>'Qtr 2 Budget'!L153</f>
        <v>0</v>
      </c>
      <c r="K153" s="398"/>
      <c r="L153" s="291">
        <f t="shared" si="140"/>
        <v>0</v>
      </c>
      <c r="M153" s="399"/>
      <c r="N153" s="290">
        <f t="shared" si="141"/>
        <v>0</v>
      </c>
      <c r="O153" s="291">
        <f t="shared" si="142"/>
        <v>0</v>
      </c>
      <c r="P153" s="291">
        <f t="shared" si="143"/>
        <v>0</v>
      </c>
      <c r="Q153" s="289">
        <f t="shared" si="144"/>
        <v>0</v>
      </c>
      <c r="R153" s="251">
        <f t="shared" si="145"/>
        <v>0</v>
      </c>
      <c r="S153" s="251" t="str">
        <f t="shared" si="146"/>
        <v/>
      </c>
      <c r="T153" s="407"/>
    </row>
    <row r="154" spans="1:20" ht="15" customHeight="1">
      <c r="A154" s="243">
        <f t="shared" si="128"/>
        <v>144</v>
      </c>
      <c r="B154" s="396"/>
      <c r="C154" s="403"/>
      <c r="D154" s="394"/>
      <c r="E154" s="395"/>
      <c r="F154" s="290">
        <f>'Qtr 2 Budget'!H154</f>
        <v>0</v>
      </c>
      <c r="G154" s="398"/>
      <c r="H154" s="291">
        <f t="shared" si="139"/>
        <v>0</v>
      </c>
      <c r="I154" s="393"/>
      <c r="J154" s="290">
        <f>'Qtr 2 Budget'!L154</f>
        <v>0</v>
      </c>
      <c r="K154" s="398"/>
      <c r="L154" s="291">
        <f t="shared" si="140"/>
        <v>0</v>
      </c>
      <c r="M154" s="399"/>
      <c r="N154" s="290">
        <f t="shared" si="141"/>
        <v>0</v>
      </c>
      <c r="O154" s="291">
        <f t="shared" si="142"/>
        <v>0</v>
      </c>
      <c r="P154" s="291">
        <f t="shared" si="143"/>
        <v>0</v>
      </c>
      <c r="Q154" s="289">
        <f t="shared" si="144"/>
        <v>0</v>
      </c>
      <c r="R154" s="251">
        <f t="shared" si="145"/>
        <v>0</v>
      </c>
      <c r="S154" s="251" t="str">
        <f t="shared" si="146"/>
        <v/>
      </c>
      <c r="T154" s="407"/>
    </row>
    <row r="155" spans="1:20" ht="21" customHeight="1">
      <c r="A155" s="343">
        <f t="shared" si="128"/>
        <v>145</v>
      </c>
      <c r="B155" s="257"/>
      <c r="C155" s="257" t="s">
        <v>89</v>
      </c>
      <c r="D155" s="258"/>
      <c r="E155" s="293">
        <v>900</v>
      </c>
      <c r="F155" s="294">
        <f>SUM(F152:F154)</f>
        <v>0</v>
      </c>
      <c r="G155" s="295">
        <f t="shared" ref="G155:Q155" si="147">SUM(G152:G154)</f>
        <v>0</v>
      </c>
      <c r="H155" s="295">
        <f t="shared" si="147"/>
        <v>0</v>
      </c>
      <c r="I155" s="296">
        <f t="shared" si="147"/>
        <v>0</v>
      </c>
      <c r="J155" s="294">
        <f t="shared" si="147"/>
        <v>0</v>
      </c>
      <c r="K155" s="295">
        <f t="shared" si="147"/>
        <v>0</v>
      </c>
      <c r="L155" s="295">
        <f t="shared" si="147"/>
        <v>0</v>
      </c>
      <c r="M155" s="296">
        <f t="shared" si="147"/>
        <v>0</v>
      </c>
      <c r="N155" s="294">
        <f t="shared" si="147"/>
        <v>0</v>
      </c>
      <c r="O155" s="295">
        <f t="shared" si="147"/>
        <v>0</v>
      </c>
      <c r="P155" s="295">
        <f t="shared" si="147"/>
        <v>0</v>
      </c>
      <c r="Q155" s="297">
        <f t="shared" si="147"/>
        <v>0</v>
      </c>
      <c r="R155" s="344">
        <f t="shared" si="145"/>
        <v>0</v>
      </c>
      <c r="S155" s="344" t="str">
        <f t="shared" si="146"/>
        <v/>
      </c>
      <c r="T155" s="421"/>
    </row>
    <row r="156" spans="1:20" ht="18.75" customHeight="1" thickBot="1">
      <c r="A156" s="220">
        <f t="shared" si="128"/>
        <v>146</v>
      </c>
      <c r="B156" s="189"/>
      <c r="C156" s="189"/>
      <c r="D156" s="200" t="s">
        <v>21</v>
      </c>
      <c r="E156" s="201" t="s">
        <v>22</v>
      </c>
      <c r="F156" s="222">
        <f>F97+F106+F112+F119+F130+F137+F143+F150+F155</f>
        <v>3426552.3159670024</v>
      </c>
      <c r="G156" s="225">
        <f t="shared" ref="G156:Q156" si="148">G97+G106+G112+G119+G130+G137+G143+G150+G155</f>
        <v>0</v>
      </c>
      <c r="H156" s="225">
        <f t="shared" si="148"/>
        <v>3426552.3159670024</v>
      </c>
      <c r="I156" s="193">
        <f t="shared" si="148"/>
        <v>0</v>
      </c>
      <c r="J156" s="222">
        <f t="shared" si="148"/>
        <v>1713801</v>
      </c>
      <c r="K156" s="225">
        <f t="shared" si="148"/>
        <v>0</v>
      </c>
      <c r="L156" s="225">
        <f t="shared" si="148"/>
        <v>1713801</v>
      </c>
      <c r="M156" s="193">
        <f t="shared" si="148"/>
        <v>0</v>
      </c>
      <c r="N156" s="222">
        <f t="shared" si="148"/>
        <v>5140353.3159670029</v>
      </c>
      <c r="O156" s="225">
        <f t="shared" si="148"/>
        <v>0</v>
      </c>
      <c r="P156" s="225">
        <f t="shared" si="148"/>
        <v>5140353.3159670029</v>
      </c>
      <c r="Q156" s="192">
        <f t="shared" si="148"/>
        <v>0</v>
      </c>
      <c r="R156" s="194">
        <f t="shared" si="145"/>
        <v>1</v>
      </c>
      <c r="S156" s="194">
        <f t="shared" si="146"/>
        <v>0</v>
      </c>
      <c r="T156" s="415"/>
    </row>
    <row r="157" spans="1:20" ht="18.75" customHeight="1" thickTop="1" thickBot="1">
      <c r="A157" s="132"/>
      <c r="B157" s="71"/>
      <c r="C157" s="71"/>
      <c r="D157" s="71"/>
      <c r="E157" s="72"/>
      <c r="F157" s="1"/>
      <c r="G157" s="1"/>
      <c r="H157" s="1"/>
      <c r="I157" s="73"/>
      <c r="J157" s="1"/>
      <c r="K157" s="1"/>
      <c r="L157" s="1"/>
      <c r="M157" s="1"/>
      <c r="N157" s="1"/>
      <c r="O157" s="1"/>
      <c r="P157" s="1"/>
      <c r="Q157" s="69"/>
      <c r="R157" s="69"/>
      <c r="S157" s="69"/>
      <c r="T157" s="69"/>
    </row>
    <row r="158" spans="1:20" ht="18.75" customHeight="1" thickTop="1">
      <c r="A158" s="132"/>
      <c r="B158" s="69"/>
      <c r="C158" s="72"/>
      <c r="D158" s="212"/>
      <c r="E158" s="213" t="s">
        <v>105</v>
      </c>
      <c r="F158" s="202">
        <f>F85-F156</f>
        <v>324852.18059406849</v>
      </c>
      <c r="G158" s="203">
        <f t="shared" ref="G158:Q158" si="149">G85-G156</f>
        <v>0</v>
      </c>
      <c r="H158" s="203">
        <f t="shared" si="149"/>
        <v>324852.18059406849</v>
      </c>
      <c r="I158" s="203">
        <f t="shared" si="149"/>
        <v>0</v>
      </c>
      <c r="J158" s="203">
        <f t="shared" si="149"/>
        <v>-0.41663921298459172</v>
      </c>
      <c r="K158" s="203">
        <f t="shared" si="149"/>
        <v>0</v>
      </c>
      <c r="L158" s="203">
        <f t="shared" si="149"/>
        <v>-0.41663921298459172</v>
      </c>
      <c r="M158" s="203">
        <f t="shared" si="149"/>
        <v>0</v>
      </c>
      <c r="N158" s="203">
        <f t="shared" si="149"/>
        <v>324851.7639548555</v>
      </c>
      <c r="O158" s="203">
        <f t="shared" si="149"/>
        <v>0</v>
      </c>
      <c r="P158" s="203">
        <f t="shared" si="149"/>
        <v>324851.7639548555</v>
      </c>
      <c r="Q158" s="204">
        <f t="shared" si="149"/>
        <v>0</v>
      </c>
      <c r="R158" s="69"/>
      <c r="S158" s="69"/>
      <c r="T158" s="210" t="s">
        <v>158</v>
      </c>
    </row>
    <row r="159" spans="1:20" ht="18.75" customHeight="1" thickBot="1">
      <c r="A159" s="132"/>
      <c r="B159" s="69"/>
      <c r="C159" s="72"/>
      <c r="D159" s="214"/>
      <c r="E159" s="215" t="s">
        <v>106</v>
      </c>
      <c r="F159" s="205">
        <f>'Qtr 2 Budget'!H159</f>
        <v>2127814.6799999997</v>
      </c>
      <c r="G159" s="38"/>
      <c r="H159" s="38">
        <f>F159</f>
        <v>2127814.6799999997</v>
      </c>
      <c r="I159" s="38"/>
      <c r="J159" s="38">
        <f>'Qtr 2 Budget'!L159</f>
        <v>0</v>
      </c>
      <c r="K159" s="38"/>
      <c r="L159" s="38">
        <f>J159</f>
        <v>0</v>
      </c>
      <c r="M159" s="38"/>
      <c r="N159" s="38">
        <f>F159+J159</f>
        <v>2127814.6799999997</v>
      </c>
      <c r="O159" s="38"/>
      <c r="P159" s="38">
        <f>N159</f>
        <v>2127814.6799999997</v>
      </c>
      <c r="Q159" s="206"/>
      <c r="R159" s="69"/>
      <c r="S159" s="69"/>
      <c r="T159" s="211">
        <f>H160/H85</f>
        <v>0.65379962700434968</v>
      </c>
    </row>
    <row r="160" spans="1:20" ht="15" customHeight="1" thickTop="1" thickBot="1">
      <c r="A160" s="132"/>
      <c r="B160" s="69"/>
      <c r="C160" s="72"/>
      <c r="D160" s="216"/>
      <c r="E160" s="217" t="s">
        <v>107</v>
      </c>
      <c r="F160" s="207">
        <f>SUM(F158:F159)</f>
        <v>2452666.8605940682</v>
      </c>
      <c r="G160" s="208">
        <f t="shared" ref="G160:Q160" si="150">SUM(G158:G159)</f>
        <v>0</v>
      </c>
      <c r="H160" s="208">
        <f t="shared" si="150"/>
        <v>2452666.8605940682</v>
      </c>
      <c r="I160" s="208">
        <f t="shared" si="150"/>
        <v>0</v>
      </c>
      <c r="J160" s="208">
        <f t="shared" si="150"/>
        <v>-0.41663921298459172</v>
      </c>
      <c r="K160" s="208">
        <f t="shared" si="150"/>
        <v>0</v>
      </c>
      <c r="L160" s="208">
        <f t="shared" si="150"/>
        <v>-0.41663921298459172</v>
      </c>
      <c r="M160" s="208">
        <f t="shared" si="150"/>
        <v>0</v>
      </c>
      <c r="N160" s="208">
        <f t="shared" si="150"/>
        <v>2452666.4439548552</v>
      </c>
      <c r="O160" s="208">
        <f t="shared" si="150"/>
        <v>0</v>
      </c>
      <c r="P160" s="208">
        <f t="shared" si="150"/>
        <v>2452666.4439548552</v>
      </c>
      <c r="Q160" s="209">
        <f t="shared" si="150"/>
        <v>0</v>
      </c>
      <c r="R160" s="69"/>
      <c r="S160" s="69"/>
      <c r="T160" s="69"/>
    </row>
    <row r="161" spans="1:20" ht="15" customHeight="1" thickTop="1">
      <c r="A161" s="70"/>
      <c r="B161" s="69"/>
      <c r="C161" s="72"/>
      <c r="D161" s="74"/>
      <c r="E161" s="81"/>
      <c r="F161" s="82"/>
      <c r="G161" s="82"/>
      <c r="H161" s="82"/>
      <c r="I161" s="82"/>
      <c r="J161" s="82"/>
      <c r="K161" s="82"/>
      <c r="L161" s="82"/>
      <c r="M161" s="82"/>
      <c r="N161" s="82"/>
      <c r="O161" s="82"/>
      <c r="P161" s="82"/>
      <c r="Q161" s="69"/>
      <c r="R161" s="69"/>
      <c r="S161" s="69"/>
      <c r="T161" s="69"/>
    </row>
  </sheetData>
  <mergeCells count="27">
    <mergeCell ref="T8:T10"/>
    <mergeCell ref="P8:P10"/>
    <mergeCell ref="Q8:Q10"/>
    <mergeCell ref="B86:D86"/>
    <mergeCell ref="L8:L10"/>
    <mergeCell ref="M8:M10"/>
    <mergeCell ref="N8:N10"/>
    <mergeCell ref="O8:O10"/>
    <mergeCell ref="F8:F10"/>
    <mergeCell ref="G8:G10"/>
    <mergeCell ref="H8:H10"/>
    <mergeCell ref="I8:I10"/>
    <mergeCell ref="J8:J10"/>
    <mergeCell ref="K8:K10"/>
    <mergeCell ref="B11:D11"/>
    <mergeCell ref="J1:M1"/>
    <mergeCell ref="R1:S1"/>
    <mergeCell ref="A4:C5"/>
    <mergeCell ref="D4:D5"/>
    <mergeCell ref="B6:D10"/>
    <mergeCell ref="E6:E7"/>
    <mergeCell ref="F6:I7"/>
    <mergeCell ref="J6:M7"/>
    <mergeCell ref="N6:Q7"/>
    <mergeCell ref="E8:E10"/>
    <mergeCell ref="R8:R10"/>
    <mergeCell ref="S8:S10"/>
  </mergeCells>
  <printOptions horizontalCentered="1"/>
  <pageMargins left="0" right="0" top="0.5" bottom="0.25" header="0.25" footer="0.15"/>
  <pageSetup paperSize="5" scale="61" orientation="landscape" r:id="rId1"/>
  <headerFooter alignWithMargins="0">
    <oddFooter>&amp;C&amp;"Arial,Regular"&amp;10School System Financial Services&amp;R&amp;"Arial,Regular"&amp;10&amp;P of &amp;N</oddFooter>
  </headerFooter>
  <rowBreaks count="3" manualBreakCount="3">
    <brk id="40" max="19" man="1"/>
    <brk id="85" max="19" man="1"/>
    <brk id="119" max="19"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867C0-506C-4B55-A2BE-0869ED4E15A0}">
  <dimension ref="A1:T3469"/>
  <sheetViews>
    <sheetView workbookViewId="0">
      <selection activeCell="M7" sqref="M7"/>
    </sheetView>
  </sheetViews>
  <sheetFormatPr defaultRowHeight="15.5"/>
  <cols>
    <col min="1" max="1" width="10.84375" customWidth="1"/>
    <col min="2" max="2" width="5.23046875" customWidth="1"/>
    <col min="3" max="3" width="5" customWidth="1"/>
    <col min="4" max="4" width="5.3046875" customWidth="1"/>
    <col min="5" max="5" width="43.4609375" customWidth="1"/>
    <col min="6" max="6" width="7.4609375" customWidth="1"/>
    <col min="7" max="7" width="10.4609375" customWidth="1"/>
    <col min="8" max="8" width="5" customWidth="1"/>
    <col min="9" max="9" width="4" customWidth="1"/>
    <col min="10" max="10" width="12.4609375" customWidth="1"/>
    <col min="11" max="11" width="3.84375" customWidth="1"/>
    <col min="12" max="12" width="7.69140625" customWidth="1"/>
    <col min="13" max="13" width="12.765625" customWidth="1"/>
    <col min="14" max="14" width="18.84375" customWidth="1"/>
  </cols>
  <sheetData>
    <row r="1" spans="1:20" ht="16" thickBot="1">
      <c r="A1" s="660" t="s">
        <v>743</v>
      </c>
      <c r="B1" s="661"/>
      <c r="C1" s="662"/>
      <c r="D1" s="663"/>
      <c r="E1" s="664">
        <v>-1</v>
      </c>
      <c r="F1" s="665" t="s">
        <v>744</v>
      </c>
      <c r="G1" s="666" t="s">
        <v>745</v>
      </c>
      <c r="H1" s="667" t="s">
        <v>746</v>
      </c>
      <c r="J1" s="668">
        <f>E1</f>
        <v>-1</v>
      </c>
      <c r="L1" s="668" t="s">
        <v>747</v>
      </c>
      <c r="M1" s="669" t="s">
        <v>748</v>
      </c>
      <c r="N1" s="668" t="s">
        <v>749</v>
      </c>
      <c r="O1" s="668" t="s">
        <v>750</v>
      </c>
      <c r="P1" s="668" t="s">
        <v>751</v>
      </c>
      <c r="Q1" s="668" t="s">
        <v>752</v>
      </c>
      <c r="R1" s="668" t="s">
        <v>753</v>
      </c>
      <c r="S1" s="670" t="s">
        <v>754</v>
      </c>
      <c r="T1" s="668" t="s">
        <v>755</v>
      </c>
    </row>
    <row r="2" spans="1:20" ht="18.5" thickTop="1">
      <c r="A2" s="671"/>
      <c r="B2" s="672"/>
      <c r="C2" s="673"/>
      <c r="D2" s="943" t="s">
        <v>756</v>
      </c>
      <c r="E2" s="926"/>
      <c r="F2" s="675"/>
      <c r="G2" s="672"/>
      <c r="H2" s="676"/>
      <c r="S2" s="670"/>
    </row>
    <row r="3" spans="1:20">
      <c r="A3" s="671"/>
      <c r="B3" s="672"/>
      <c r="C3" s="672"/>
      <c r="D3" s="672"/>
      <c r="E3" s="676"/>
      <c r="F3" s="675"/>
      <c r="G3" s="672"/>
      <c r="H3" s="676"/>
      <c r="S3" s="670"/>
    </row>
    <row r="4" spans="1:20">
      <c r="A4" s="671"/>
      <c r="B4" s="677" t="s">
        <v>757</v>
      </c>
      <c r="C4" s="921" t="s">
        <v>41</v>
      </c>
      <c r="D4" s="795"/>
      <c r="E4" s="926"/>
      <c r="F4" s="675"/>
      <c r="G4" s="672"/>
      <c r="H4" s="676"/>
      <c r="S4" s="670"/>
    </row>
    <row r="5" spans="1:20">
      <c r="A5" s="671"/>
      <c r="B5" s="677"/>
      <c r="C5" s="678">
        <v>1</v>
      </c>
      <c r="D5" s="927" t="s">
        <v>758</v>
      </c>
      <c r="E5" s="926"/>
      <c r="F5" s="675"/>
      <c r="G5" s="672"/>
      <c r="H5" s="676"/>
      <c r="S5" s="670"/>
    </row>
    <row r="6" spans="1:20">
      <c r="A6" s="671"/>
      <c r="B6" s="672"/>
      <c r="C6" s="672"/>
      <c r="D6" s="672" t="s">
        <v>759</v>
      </c>
      <c r="E6" s="676" t="s">
        <v>760</v>
      </c>
      <c r="F6" s="675"/>
      <c r="G6" s="672"/>
      <c r="H6" s="676"/>
      <c r="S6" s="670"/>
    </row>
    <row r="7" spans="1:20">
      <c r="A7" s="679">
        <v>1111000</v>
      </c>
      <c r="B7" s="672"/>
      <c r="C7" s="672"/>
      <c r="D7" s="672"/>
      <c r="E7" s="676" t="s">
        <v>761</v>
      </c>
      <c r="F7" s="680" t="s">
        <v>762</v>
      </c>
      <c r="G7" s="681"/>
      <c r="H7" s="682">
        <v>1111</v>
      </c>
      <c r="J7" s="668" t="str">
        <f t="shared" ref="J7:J9" si="0">E7</f>
        <v>(1) Constitutional Tax</v>
      </c>
      <c r="L7" s="668">
        <v>8</v>
      </c>
      <c r="M7" s="669">
        <v>9</v>
      </c>
      <c r="N7" s="668"/>
      <c r="O7" s="668">
        <v>1</v>
      </c>
      <c r="P7" s="668" t="str">
        <f>IFERROR(VLOOKUP(F7, [2]MOE!B:C, 2, FALSE), "No")</f>
        <v>No</v>
      </c>
      <c r="S7" s="670"/>
    </row>
    <row r="8" spans="1:20">
      <c r="A8" s="679">
        <v>1112000</v>
      </c>
      <c r="B8" s="672"/>
      <c r="C8" s="672"/>
      <c r="D8" s="672"/>
      <c r="E8" s="676" t="s">
        <v>763</v>
      </c>
      <c r="F8" s="680" t="s">
        <v>764</v>
      </c>
      <c r="G8" s="681"/>
      <c r="H8" s="682">
        <v>1112</v>
      </c>
      <c r="J8" s="668" t="str">
        <f t="shared" si="0"/>
        <v>(2) Renewable Taxes</v>
      </c>
      <c r="L8" s="668">
        <v>8</v>
      </c>
      <c r="M8" s="669">
        <v>9</v>
      </c>
      <c r="N8" s="668"/>
      <c r="O8" s="668">
        <v>1</v>
      </c>
      <c r="P8" s="668" t="str">
        <f>IFERROR(VLOOKUP(F8, [2]MOE!B:C, 2, FALSE), "No")</f>
        <v>No</v>
      </c>
      <c r="S8" s="670"/>
    </row>
    <row r="9" spans="1:20">
      <c r="A9" s="679">
        <v>1113000</v>
      </c>
      <c r="B9" s="672"/>
      <c r="C9" s="672"/>
      <c r="D9" s="672"/>
      <c r="E9" s="676" t="s">
        <v>765</v>
      </c>
      <c r="F9" s="680" t="s">
        <v>766</v>
      </c>
      <c r="G9" s="681"/>
      <c r="H9" s="682">
        <v>1113</v>
      </c>
      <c r="J9" s="668" t="str">
        <f t="shared" si="0"/>
        <v>(3) Debt Service Taxes</v>
      </c>
      <c r="L9" s="668">
        <v>8</v>
      </c>
      <c r="M9" s="669">
        <v>9</v>
      </c>
      <c r="N9" s="668"/>
      <c r="O9" s="668">
        <v>1</v>
      </c>
      <c r="P9" s="668" t="str">
        <f>IFERROR(VLOOKUP(F9, [2]MOE!B:C, 2, FALSE), "No")</f>
        <v>No</v>
      </c>
      <c r="S9" s="670"/>
    </row>
    <row r="10" spans="1:20">
      <c r="A10" s="671"/>
      <c r="B10" s="672"/>
      <c r="C10" s="672"/>
      <c r="D10" s="672"/>
      <c r="E10" s="676" t="s">
        <v>767</v>
      </c>
      <c r="F10" s="675"/>
      <c r="G10" s="672"/>
      <c r="H10" s="676"/>
      <c r="S10" s="670"/>
    </row>
    <row r="11" spans="1:20">
      <c r="A11" s="679">
        <v>1114000</v>
      </c>
      <c r="B11" s="672"/>
      <c r="C11" s="672"/>
      <c r="D11" s="672"/>
      <c r="E11" s="676" t="s">
        <v>768</v>
      </c>
      <c r="F11" s="680" t="s">
        <v>769</v>
      </c>
      <c r="G11" s="681"/>
      <c r="H11" s="682">
        <v>1114</v>
      </c>
      <c r="J11" s="668" t="str">
        <f t="shared" ref="J11:J13" si="1">E11</f>
        <v>Taxes Other than School Taxes</v>
      </c>
      <c r="L11" s="668">
        <v>8</v>
      </c>
      <c r="M11" s="669">
        <v>9</v>
      </c>
      <c r="N11" s="668"/>
      <c r="O11" s="668">
        <v>1</v>
      </c>
      <c r="P11" s="668" t="str">
        <f>IFERROR(VLOOKUP(F11, [2]MOE!B:C, 2, FALSE), "No")</f>
        <v>No</v>
      </c>
      <c r="S11" s="670"/>
    </row>
    <row r="12" spans="1:20">
      <c r="A12" s="679">
        <v>1115000</v>
      </c>
      <c r="B12" s="672"/>
      <c r="C12" s="672"/>
      <c r="D12" s="672"/>
      <c r="E12" s="676" t="s">
        <v>770</v>
      </c>
      <c r="F12" s="680" t="s">
        <v>771</v>
      </c>
      <c r="G12" s="681"/>
      <c r="H12" s="682">
        <v>1115</v>
      </c>
      <c r="J12" s="668" t="str">
        <f t="shared" si="1"/>
        <v>(5) Result of Court-Ordered Settlement</v>
      </c>
      <c r="L12" s="668">
        <v>8</v>
      </c>
      <c r="M12" s="669">
        <v>9</v>
      </c>
      <c r="N12" s="668"/>
      <c r="O12" s="668">
        <v>1</v>
      </c>
      <c r="P12" s="668" t="str">
        <f>IFERROR(VLOOKUP(F12, [2]MOE!B:C, 2, FALSE), "No")</f>
        <v>No</v>
      </c>
      <c r="S12" s="670"/>
    </row>
    <row r="13" spans="1:20">
      <c r="A13" s="679">
        <v>1116000</v>
      </c>
      <c r="B13" s="672"/>
      <c r="C13" s="672"/>
      <c r="D13" s="672"/>
      <c r="E13" s="676" t="s">
        <v>772</v>
      </c>
      <c r="F13" s="680" t="s">
        <v>773</v>
      </c>
      <c r="G13" s="681"/>
      <c r="H13" s="682">
        <v>1116</v>
      </c>
      <c r="J13" s="668" t="str">
        <f t="shared" si="1"/>
        <v>(6) Penalties/Interest on Property Taxes</v>
      </c>
      <c r="L13" s="668">
        <v>8</v>
      </c>
      <c r="M13" s="669">
        <v>9</v>
      </c>
      <c r="N13" s="668"/>
      <c r="O13" s="668">
        <v>1</v>
      </c>
      <c r="P13" s="668" t="str">
        <f>IFERROR(VLOOKUP(F13, [2]MOE!B:C, 2, FALSE), "No")</f>
        <v>No</v>
      </c>
      <c r="S13" s="670"/>
    </row>
    <row r="14" spans="1:20">
      <c r="A14" s="671"/>
      <c r="B14" s="672"/>
      <c r="C14" s="672"/>
      <c r="D14" s="672"/>
      <c r="E14" s="676" t="s">
        <v>774</v>
      </c>
      <c r="F14" s="675"/>
      <c r="G14" s="672"/>
      <c r="H14" s="676"/>
      <c r="S14" s="670"/>
    </row>
    <row r="15" spans="1:20">
      <c r="A15" s="679">
        <v>1117000</v>
      </c>
      <c r="B15" s="672"/>
      <c r="C15" s="672"/>
      <c r="D15" s="672"/>
      <c r="E15" s="676" t="s">
        <v>775</v>
      </c>
      <c r="F15" s="680" t="s">
        <v>776</v>
      </c>
      <c r="G15" s="681"/>
      <c r="H15" s="682">
        <v>1117</v>
      </c>
      <c r="J15" s="668" t="str">
        <f>E15</f>
        <v>Tax Incremental Financing (TIF)</v>
      </c>
      <c r="L15" s="668">
        <v>8</v>
      </c>
      <c r="M15" s="669">
        <v>9</v>
      </c>
      <c r="N15" s="668"/>
      <c r="O15" s="668">
        <v>1</v>
      </c>
      <c r="P15" s="668" t="str">
        <f>IFERROR(VLOOKUP(F15, [2]MOE!B:C, 2, FALSE), "No")</f>
        <v>No</v>
      </c>
      <c r="S15" s="670"/>
    </row>
    <row r="16" spans="1:20">
      <c r="A16" s="671"/>
      <c r="B16" s="672"/>
      <c r="C16" s="672"/>
      <c r="D16" s="672" t="s">
        <v>777</v>
      </c>
      <c r="E16" s="676" t="s">
        <v>778</v>
      </c>
      <c r="F16" s="675"/>
      <c r="G16" s="672"/>
      <c r="H16" s="676"/>
      <c r="S16" s="670"/>
    </row>
    <row r="17" spans="1:19">
      <c r="A17" s="679">
        <v>1131000</v>
      </c>
      <c r="B17" s="672"/>
      <c r="C17" s="672"/>
      <c r="D17" s="672"/>
      <c r="E17" s="676" t="s">
        <v>779</v>
      </c>
      <c r="F17" s="683" t="s">
        <v>780</v>
      </c>
      <c r="G17" s="672"/>
      <c r="H17" s="684">
        <v>1131</v>
      </c>
      <c r="J17" s="668" t="str">
        <f t="shared" ref="J17:J19" si="2">E17</f>
        <v>(1) Sales and Use Taxes</v>
      </c>
      <c r="L17" s="668">
        <v>8</v>
      </c>
      <c r="M17" s="669">
        <v>9</v>
      </c>
      <c r="N17" s="668"/>
      <c r="O17" s="668">
        <v>1</v>
      </c>
      <c r="P17" s="668" t="str">
        <f>IFERROR(VLOOKUP(F17, [2]MOE!B:C, 2, FALSE), "No")</f>
        <v>No</v>
      </c>
      <c r="S17" s="670"/>
    </row>
    <row r="18" spans="1:19">
      <c r="A18" s="679">
        <v>1135000</v>
      </c>
      <c r="B18" s="672"/>
      <c r="C18" s="672"/>
      <c r="D18" s="672"/>
      <c r="E18" s="676" t="s">
        <v>781</v>
      </c>
      <c r="F18" s="683" t="s">
        <v>782</v>
      </c>
      <c r="G18" s="672"/>
      <c r="H18" s="684">
        <v>1135</v>
      </c>
      <c r="J18" s="668" t="str">
        <f t="shared" si="2"/>
        <v>(2) Sales/Use Taxes - Court Settlement</v>
      </c>
      <c r="L18" s="668">
        <v>8</v>
      </c>
      <c r="M18" s="669">
        <v>9</v>
      </c>
      <c r="N18" s="668"/>
      <c r="O18" s="668">
        <v>1</v>
      </c>
      <c r="P18" s="668" t="str">
        <f>IFERROR(VLOOKUP(F18, [2]MOE!B:C, 2, FALSE), "No")</f>
        <v>No</v>
      </c>
      <c r="S18" s="670"/>
    </row>
    <row r="19" spans="1:19">
      <c r="A19" s="679">
        <v>1136000</v>
      </c>
      <c r="B19" s="672"/>
      <c r="C19" s="672"/>
      <c r="D19" s="672"/>
      <c r="E19" s="676" t="s">
        <v>783</v>
      </c>
      <c r="F19" s="683" t="s">
        <v>784</v>
      </c>
      <c r="G19" s="672"/>
      <c r="H19" s="684">
        <v>1136</v>
      </c>
      <c r="J19" s="668" t="str">
        <f t="shared" si="2"/>
        <v>(3) Penalties/Interest on Sales/Use Taxes</v>
      </c>
      <c r="L19" s="668">
        <v>8</v>
      </c>
      <c r="M19" s="669">
        <v>9</v>
      </c>
      <c r="N19" s="668"/>
      <c r="O19" s="668">
        <v>1</v>
      </c>
      <c r="P19" s="668" t="str">
        <f>IFERROR(VLOOKUP(F19, [2]MOE!B:C, 2, FALSE), "No")</f>
        <v>No</v>
      </c>
      <c r="S19" s="670"/>
    </row>
    <row r="20" spans="1:19">
      <c r="A20" s="671"/>
      <c r="B20" s="672"/>
      <c r="C20" s="672"/>
      <c r="D20" s="672"/>
      <c r="E20" s="676" t="s">
        <v>785</v>
      </c>
      <c r="F20" s="675"/>
      <c r="G20" s="672"/>
      <c r="H20" s="676"/>
      <c r="S20" s="670"/>
    </row>
    <row r="21" spans="1:19">
      <c r="A21" s="679">
        <v>1137000</v>
      </c>
      <c r="B21" s="672"/>
      <c r="C21" s="672"/>
      <c r="D21" s="672"/>
      <c r="E21" s="676" t="s">
        <v>775</v>
      </c>
      <c r="F21" s="683" t="s">
        <v>786</v>
      </c>
      <c r="G21" s="672"/>
      <c r="H21" s="684">
        <v>1137</v>
      </c>
      <c r="J21" s="668" t="str">
        <f>E21</f>
        <v>Tax Incremental Financing (TIF)</v>
      </c>
      <c r="L21" s="668">
        <v>8</v>
      </c>
      <c r="M21" s="669">
        <v>9</v>
      </c>
      <c r="N21" s="668"/>
      <c r="O21" s="668">
        <v>1</v>
      </c>
      <c r="P21" s="668" t="str">
        <f>IFERROR(VLOOKUP(F21, [2]MOE!B:C, 2, FALSE), "No")</f>
        <v>No</v>
      </c>
      <c r="S21" s="670"/>
    </row>
    <row r="22" spans="1:19">
      <c r="A22" s="671"/>
      <c r="B22" s="672"/>
      <c r="C22" s="678">
        <v>2</v>
      </c>
      <c r="D22" s="927" t="s">
        <v>787</v>
      </c>
      <c r="E22" s="926"/>
      <c r="F22" s="675"/>
      <c r="G22" s="672"/>
      <c r="H22" s="676"/>
      <c r="S22" s="670"/>
    </row>
    <row r="23" spans="1:19">
      <c r="A23" s="679">
        <v>1200000</v>
      </c>
      <c r="B23" s="672"/>
      <c r="C23" s="672"/>
      <c r="D23" s="927" t="s">
        <v>788</v>
      </c>
      <c r="E23" s="926"/>
      <c r="F23" s="680" t="s">
        <v>789</v>
      </c>
      <c r="G23" s="681"/>
      <c r="H23" s="682">
        <v>1200</v>
      </c>
      <c r="J23" s="668" t="str">
        <f>D23</f>
        <v>Units Other Than LEA's</v>
      </c>
      <c r="L23" s="668">
        <v>8</v>
      </c>
      <c r="M23" s="669">
        <v>9</v>
      </c>
      <c r="N23" s="668"/>
      <c r="O23" s="668">
        <v>1</v>
      </c>
      <c r="P23" s="668" t="str">
        <f>IFERROR(VLOOKUP(F23, [2]MOE!B:C, 2, FALSE), "No")</f>
        <v>No</v>
      </c>
      <c r="S23" s="670"/>
    </row>
    <row r="24" spans="1:19">
      <c r="A24" s="671"/>
      <c r="B24" s="672"/>
      <c r="C24" s="678">
        <v>3</v>
      </c>
      <c r="D24" s="927" t="s">
        <v>790</v>
      </c>
      <c r="E24" s="926"/>
      <c r="F24" s="675"/>
      <c r="G24" s="672"/>
      <c r="H24" s="676"/>
      <c r="S24" s="670"/>
    </row>
    <row r="25" spans="1:19">
      <c r="A25" s="671"/>
      <c r="B25" s="672"/>
      <c r="C25" s="672"/>
      <c r="D25" s="672" t="s">
        <v>759</v>
      </c>
      <c r="E25" s="676" t="s">
        <v>791</v>
      </c>
      <c r="F25" s="675"/>
      <c r="G25" s="672"/>
      <c r="H25" s="676"/>
      <c r="S25" s="670"/>
    </row>
    <row r="26" spans="1:19">
      <c r="A26" s="679">
        <v>1311000</v>
      </c>
      <c r="B26" s="672"/>
      <c r="C26" s="672"/>
      <c r="D26" s="672"/>
      <c r="E26" s="676" t="s">
        <v>792</v>
      </c>
      <c r="F26" s="680" t="s">
        <v>793</v>
      </c>
      <c r="G26" s="681"/>
      <c r="H26" s="682">
        <v>1311</v>
      </c>
      <c r="J26" s="668" t="str">
        <f t="shared" ref="J26:J27" si="3">E26</f>
        <v>(1) Excluding Summer School</v>
      </c>
      <c r="L26" s="668">
        <v>8</v>
      </c>
      <c r="M26" s="669">
        <v>9</v>
      </c>
      <c r="N26" s="668"/>
      <c r="O26" s="668">
        <v>1</v>
      </c>
      <c r="P26" s="668" t="str">
        <f>IFERROR(VLOOKUP(F26, [2]MOE!B:C, 2, FALSE), "No")</f>
        <v>No</v>
      </c>
      <c r="S26" s="670"/>
    </row>
    <row r="27" spans="1:19">
      <c r="A27" s="679">
        <v>1312000</v>
      </c>
      <c r="B27" s="672"/>
      <c r="C27" s="672"/>
      <c r="D27" s="672"/>
      <c r="E27" s="676" t="s">
        <v>794</v>
      </c>
      <c r="F27" s="680" t="s">
        <v>795</v>
      </c>
      <c r="G27" s="681"/>
      <c r="H27" s="682">
        <v>1312</v>
      </c>
      <c r="J27" s="668" t="str">
        <f t="shared" si="3"/>
        <v>(2) For Summer School</v>
      </c>
      <c r="L27" s="668">
        <v>8</v>
      </c>
      <c r="M27" s="669">
        <v>9</v>
      </c>
      <c r="N27" s="668"/>
      <c r="O27" s="668">
        <v>1</v>
      </c>
      <c r="P27" s="668" t="str">
        <f>IFERROR(VLOOKUP(F27, [2]MOE!B:C, 2, FALSE), "No")</f>
        <v>No</v>
      </c>
      <c r="S27" s="670"/>
    </row>
    <row r="28" spans="1:19">
      <c r="A28" s="671"/>
      <c r="B28" s="672"/>
      <c r="C28" s="672"/>
      <c r="D28" s="672" t="s">
        <v>777</v>
      </c>
      <c r="E28" s="676" t="s">
        <v>796</v>
      </c>
      <c r="F28" s="675"/>
      <c r="G28" s="672"/>
      <c r="H28" s="676"/>
      <c r="S28" s="670"/>
    </row>
    <row r="29" spans="1:19">
      <c r="A29" s="679">
        <v>1320000</v>
      </c>
      <c r="B29" s="672"/>
      <c r="C29" s="672"/>
      <c r="D29" s="672"/>
      <c r="E29" s="676" t="s">
        <v>797</v>
      </c>
      <c r="F29" s="680" t="s">
        <v>798</v>
      </c>
      <c r="G29" s="681"/>
      <c r="H29" s="682">
        <v>1320</v>
      </c>
      <c r="J29" s="668" t="str">
        <f t="shared" ref="J29:J30" si="4">E29</f>
        <v>(1) Within The State</v>
      </c>
      <c r="L29" s="668">
        <v>8</v>
      </c>
      <c r="M29" s="669">
        <v>9</v>
      </c>
      <c r="N29" s="668"/>
      <c r="O29" s="668">
        <v>1</v>
      </c>
      <c r="P29" s="668" t="str">
        <f>IFERROR(VLOOKUP(F29, [2]MOE!B:C, 2, FALSE), "No")</f>
        <v>No</v>
      </c>
      <c r="S29" s="670"/>
    </row>
    <row r="30" spans="1:19">
      <c r="A30" s="679">
        <v>1321000</v>
      </c>
      <c r="B30" s="672"/>
      <c r="C30" s="672"/>
      <c r="D30" s="672"/>
      <c r="E30" s="676" t="s">
        <v>799</v>
      </c>
      <c r="F30" s="680" t="s">
        <v>800</v>
      </c>
      <c r="G30" s="681"/>
      <c r="H30" s="682">
        <v>1321</v>
      </c>
      <c r="J30" s="668" t="str">
        <f t="shared" si="4"/>
        <v>(2) Outside The State</v>
      </c>
      <c r="L30" s="668">
        <v>8</v>
      </c>
      <c r="M30" s="669">
        <v>9</v>
      </c>
      <c r="N30" s="668"/>
      <c r="O30" s="668">
        <v>1</v>
      </c>
      <c r="P30" s="668" t="str">
        <f>IFERROR(VLOOKUP(F30, [2]MOE!B:C, 2, FALSE), "No")</f>
        <v>No</v>
      </c>
      <c r="S30" s="670"/>
    </row>
    <row r="31" spans="1:19">
      <c r="A31" s="671"/>
      <c r="B31" s="672"/>
      <c r="C31" s="672"/>
      <c r="D31" s="672" t="s">
        <v>801</v>
      </c>
      <c r="E31" s="676" t="s">
        <v>802</v>
      </c>
      <c r="F31" s="675"/>
      <c r="G31" s="672"/>
      <c r="H31" s="676"/>
      <c r="S31" s="670"/>
    </row>
    <row r="32" spans="1:19">
      <c r="A32" s="679">
        <v>1330000</v>
      </c>
      <c r="B32" s="672"/>
      <c r="C32" s="672"/>
      <c r="D32" s="672"/>
      <c r="E32" s="676" t="s">
        <v>797</v>
      </c>
      <c r="F32" s="680" t="s">
        <v>803</v>
      </c>
      <c r="G32" s="681"/>
      <c r="H32" s="682">
        <v>1330</v>
      </c>
      <c r="J32" s="668" t="str">
        <f t="shared" ref="J32:J34" si="5">E32</f>
        <v>(1) Within The State</v>
      </c>
      <c r="L32" s="668">
        <v>8</v>
      </c>
      <c r="M32" s="669">
        <v>9</v>
      </c>
      <c r="N32" s="668"/>
      <c r="O32" s="668">
        <v>1</v>
      </c>
      <c r="P32" s="668" t="str">
        <f>IFERROR(VLOOKUP(F32, [2]MOE!B:C, 2, FALSE), "No")</f>
        <v>No</v>
      </c>
      <c r="S32" s="670"/>
    </row>
    <row r="33" spans="1:19">
      <c r="A33" s="679">
        <v>1331000</v>
      </c>
      <c r="B33" s="672"/>
      <c r="C33" s="672"/>
      <c r="D33" s="672"/>
      <c r="E33" s="676" t="s">
        <v>799</v>
      </c>
      <c r="F33" s="680" t="s">
        <v>804</v>
      </c>
      <c r="G33" s="681"/>
      <c r="H33" s="682">
        <v>1331</v>
      </c>
      <c r="J33" s="668" t="str">
        <f t="shared" si="5"/>
        <v>(2) Outside The State</v>
      </c>
      <c r="L33" s="668">
        <v>8</v>
      </c>
      <c r="M33" s="669">
        <v>9</v>
      </c>
      <c r="N33" s="668"/>
      <c r="O33" s="668">
        <v>1</v>
      </c>
      <c r="P33" s="668" t="str">
        <f>IFERROR(VLOOKUP(F33, [2]MOE!B:C, 2, FALSE), "No")</f>
        <v>No</v>
      </c>
      <c r="S33" s="670"/>
    </row>
    <row r="34" spans="1:19">
      <c r="A34" s="679">
        <v>1390000</v>
      </c>
      <c r="B34" s="672"/>
      <c r="C34" s="672"/>
      <c r="D34" s="672" t="s">
        <v>805</v>
      </c>
      <c r="E34" s="676" t="s">
        <v>806</v>
      </c>
      <c r="F34" s="680" t="s">
        <v>807</v>
      </c>
      <c r="G34" s="681"/>
      <c r="H34" s="682">
        <v>1390</v>
      </c>
      <c r="J34" s="668" t="str">
        <f t="shared" si="5"/>
        <v>From Other Sources</v>
      </c>
      <c r="L34" s="668">
        <v>8</v>
      </c>
      <c r="M34" s="669">
        <v>9</v>
      </c>
      <c r="N34" s="668"/>
      <c r="O34" s="668">
        <v>1</v>
      </c>
      <c r="P34" s="668" t="str">
        <f>IFERROR(VLOOKUP(F34, [2]MOE!B:C, 2, FALSE), "No")</f>
        <v>No</v>
      </c>
      <c r="S34" s="670"/>
    </row>
    <row r="35" spans="1:19">
      <c r="A35" s="671"/>
      <c r="B35" s="672"/>
      <c r="C35" s="678">
        <v>4</v>
      </c>
      <c r="D35" s="927" t="s">
        <v>808</v>
      </c>
      <c r="E35" s="926"/>
      <c r="F35" s="675"/>
      <c r="G35" s="672"/>
      <c r="H35" s="676"/>
      <c r="S35" s="670"/>
    </row>
    <row r="36" spans="1:19">
      <c r="A36" s="679">
        <v>1410000</v>
      </c>
      <c r="B36" s="672"/>
      <c r="C36" s="672"/>
      <c r="D36" s="672" t="s">
        <v>759</v>
      </c>
      <c r="E36" s="676" t="s">
        <v>791</v>
      </c>
      <c r="F36" s="680" t="s">
        <v>809</v>
      </c>
      <c r="G36" s="681"/>
      <c r="H36" s="682">
        <v>1410</v>
      </c>
      <c r="J36" s="668" t="str">
        <f>E36</f>
        <v>From Individuals</v>
      </c>
      <c r="L36" s="668">
        <v>8</v>
      </c>
      <c r="M36" s="669">
        <v>9</v>
      </c>
      <c r="N36" s="668"/>
      <c r="O36" s="668">
        <v>1</v>
      </c>
      <c r="P36" s="668" t="str">
        <f>IFERROR(VLOOKUP(F36, [2]MOE!B:C, 2, FALSE), "No")</f>
        <v>No</v>
      </c>
      <c r="S36" s="670"/>
    </row>
    <row r="37" spans="1:19">
      <c r="A37" s="671"/>
      <c r="B37" s="672"/>
      <c r="C37" s="672"/>
      <c r="D37" s="672" t="s">
        <v>777</v>
      </c>
      <c r="E37" s="676" t="s">
        <v>810</v>
      </c>
      <c r="F37" s="675"/>
      <c r="G37" s="672"/>
      <c r="H37" s="676"/>
      <c r="S37" s="670"/>
    </row>
    <row r="38" spans="1:19">
      <c r="A38" s="679">
        <v>1420000</v>
      </c>
      <c r="B38" s="672"/>
      <c r="C38" s="672"/>
      <c r="D38" s="672"/>
      <c r="E38" s="676" t="s">
        <v>797</v>
      </c>
      <c r="F38" s="680" t="s">
        <v>811</v>
      </c>
      <c r="G38" s="681"/>
      <c r="H38" s="682">
        <v>1420</v>
      </c>
      <c r="J38" s="668" t="str">
        <f t="shared" ref="J38:J39" si="6">E38</f>
        <v>(1) Within The State</v>
      </c>
      <c r="L38" s="668">
        <v>8</v>
      </c>
      <c r="M38" s="669">
        <v>9</v>
      </c>
      <c r="N38" s="668"/>
      <c r="O38" s="668">
        <v>1</v>
      </c>
      <c r="P38" s="668" t="str">
        <f>IFERROR(VLOOKUP(F38, [2]MOE!B:C, 2, FALSE), "No")</f>
        <v>No</v>
      </c>
      <c r="S38" s="670"/>
    </row>
    <row r="39" spans="1:19">
      <c r="A39" s="679">
        <v>1421000</v>
      </c>
      <c r="B39" s="672"/>
      <c r="C39" s="672"/>
      <c r="D39" s="672"/>
      <c r="E39" s="676" t="s">
        <v>799</v>
      </c>
      <c r="F39" s="680" t="s">
        <v>812</v>
      </c>
      <c r="G39" s="681"/>
      <c r="H39" s="682">
        <v>1421</v>
      </c>
      <c r="J39" s="668" t="str">
        <f t="shared" si="6"/>
        <v>(2) Outside The State</v>
      </c>
      <c r="L39" s="668">
        <v>8</v>
      </c>
      <c r="M39" s="669">
        <v>9</v>
      </c>
      <c r="N39" s="668"/>
      <c r="O39" s="668">
        <v>1</v>
      </c>
      <c r="P39" s="668" t="str">
        <f>IFERROR(VLOOKUP(F39, [2]MOE!B:C, 2, FALSE), "No")</f>
        <v>No</v>
      </c>
      <c r="S39" s="670"/>
    </row>
    <row r="40" spans="1:19">
      <c r="A40" s="671"/>
      <c r="B40" s="672"/>
      <c r="C40" s="672"/>
      <c r="D40" s="672" t="s">
        <v>801</v>
      </c>
      <c r="E40" s="676" t="s">
        <v>802</v>
      </c>
      <c r="F40" s="675"/>
      <c r="G40" s="672"/>
      <c r="H40" s="676"/>
      <c r="S40" s="670"/>
    </row>
    <row r="41" spans="1:19">
      <c r="A41" s="679">
        <v>1430000</v>
      </c>
      <c r="B41" s="672"/>
      <c r="C41" s="672"/>
      <c r="D41" s="672"/>
      <c r="E41" s="676" t="s">
        <v>797</v>
      </c>
      <c r="F41" s="680" t="s">
        <v>813</v>
      </c>
      <c r="G41" s="681"/>
      <c r="H41" s="682">
        <v>1430</v>
      </c>
      <c r="J41" s="668" t="str">
        <f t="shared" ref="J41:J43" si="7">E41</f>
        <v>(1) Within The State</v>
      </c>
      <c r="L41" s="668">
        <v>8</v>
      </c>
      <c r="M41" s="669">
        <v>9</v>
      </c>
      <c r="N41" s="668"/>
      <c r="O41" s="668">
        <v>1</v>
      </c>
      <c r="P41" s="668" t="str">
        <f>IFERROR(VLOOKUP(F41, [2]MOE!B:C, 2, FALSE), "No")</f>
        <v>No</v>
      </c>
      <c r="S41" s="670"/>
    </row>
    <row r="42" spans="1:19">
      <c r="A42" s="679">
        <v>1431000</v>
      </c>
      <c r="B42" s="672"/>
      <c r="C42" s="672"/>
      <c r="D42" s="672"/>
      <c r="E42" s="676" t="s">
        <v>799</v>
      </c>
      <c r="F42" s="680" t="s">
        <v>814</v>
      </c>
      <c r="G42" s="681"/>
      <c r="H42" s="682">
        <v>1431</v>
      </c>
      <c r="J42" s="668" t="str">
        <f t="shared" si="7"/>
        <v>(2) Outside The State</v>
      </c>
      <c r="L42" s="668">
        <v>8</v>
      </c>
      <c r="M42" s="669">
        <v>9</v>
      </c>
      <c r="N42" s="668"/>
      <c r="O42" s="668">
        <v>1</v>
      </c>
      <c r="P42" s="668" t="str">
        <f>IFERROR(VLOOKUP(F42, [2]MOE!B:C, 2, FALSE), "No")</f>
        <v>No</v>
      </c>
      <c r="S42" s="670"/>
    </row>
    <row r="43" spans="1:19">
      <c r="A43" s="679">
        <v>1440000</v>
      </c>
      <c r="B43" s="672"/>
      <c r="C43" s="672"/>
      <c r="D43" s="672" t="s">
        <v>805</v>
      </c>
      <c r="E43" s="676" t="s">
        <v>806</v>
      </c>
      <c r="F43" s="680" t="s">
        <v>815</v>
      </c>
      <c r="G43" s="681"/>
      <c r="H43" s="682">
        <v>1440</v>
      </c>
      <c r="J43" s="668" t="str">
        <f t="shared" si="7"/>
        <v>From Other Sources</v>
      </c>
      <c r="L43" s="668">
        <v>8</v>
      </c>
      <c r="M43" s="669">
        <v>9</v>
      </c>
      <c r="N43" s="668"/>
      <c r="O43" s="668">
        <v>1</v>
      </c>
      <c r="P43" s="668" t="str">
        <f>IFERROR(VLOOKUP(F43, [2]MOE!B:C, 2, FALSE), "No")</f>
        <v>No</v>
      </c>
      <c r="S43" s="670"/>
    </row>
    <row r="44" spans="1:19">
      <c r="A44" s="671"/>
      <c r="B44" s="672"/>
      <c r="C44" s="678">
        <v>5</v>
      </c>
      <c r="D44" s="927" t="s">
        <v>40</v>
      </c>
      <c r="E44" s="926"/>
      <c r="F44" s="675"/>
      <c r="G44" s="672"/>
      <c r="H44" s="676"/>
      <c r="S44" s="670"/>
    </row>
    <row r="45" spans="1:19">
      <c r="A45" s="679">
        <v>1510000</v>
      </c>
      <c r="B45" s="672"/>
      <c r="C45" s="672"/>
      <c r="D45" s="672" t="s">
        <v>759</v>
      </c>
      <c r="E45" s="676" t="s">
        <v>816</v>
      </c>
      <c r="F45" s="680" t="s">
        <v>817</v>
      </c>
      <c r="G45" s="681"/>
      <c r="H45" s="682">
        <v>1510</v>
      </c>
      <c r="J45" s="668" t="str">
        <f t="shared" ref="J45:J46" si="8">E45</f>
        <v>Interest on Investments</v>
      </c>
      <c r="L45" s="668">
        <v>3</v>
      </c>
      <c r="M45" s="669">
        <v>3</v>
      </c>
      <c r="N45" s="668"/>
      <c r="O45" s="668">
        <v>1</v>
      </c>
      <c r="P45" s="668" t="str">
        <f>IFERROR(VLOOKUP(F45, [2]MOE!B:C, 2, FALSE), "No")</f>
        <v>No</v>
      </c>
      <c r="S45" s="670"/>
    </row>
    <row r="46" spans="1:19">
      <c r="A46" s="685">
        <v>1531000</v>
      </c>
      <c r="B46" s="672"/>
      <c r="C46" s="672"/>
      <c r="D46" s="672" t="s">
        <v>777</v>
      </c>
      <c r="E46" s="676" t="s">
        <v>818</v>
      </c>
      <c r="F46" s="683" t="s">
        <v>819</v>
      </c>
      <c r="G46" s="672"/>
      <c r="H46" s="684">
        <v>1530</v>
      </c>
      <c r="J46" s="668" t="str">
        <f t="shared" si="8"/>
        <v>Net Change in Fair Value of Investments</v>
      </c>
      <c r="L46" s="668">
        <v>3</v>
      </c>
      <c r="M46" s="669">
        <v>3</v>
      </c>
      <c r="N46" s="668"/>
      <c r="O46" s="668">
        <v>1</v>
      </c>
      <c r="P46" s="668" t="str">
        <f>IFERROR(VLOOKUP(F46, [2]MOE!B:C, 2, FALSE), "No")</f>
        <v>No</v>
      </c>
      <c r="S46" s="670"/>
    </row>
    <row r="47" spans="1:19">
      <c r="A47" s="671"/>
      <c r="B47" s="672"/>
      <c r="C47" s="672"/>
      <c r="D47" s="672" t="s">
        <v>801</v>
      </c>
      <c r="E47" s="676" t="s">
        <v>820</v>
      </c>
      <c r="F47" s="675"/>
      <c r="G47" s="672"/>
      <c r="H47" s="676"/>
      <c r="S47" s="670"/>
    </row>
    <row r="48" spans="1:19">
      <c r="A48" s="679">
        <v>1541000</v>
      </c>
      <c r="B48" s="672"/>
      <c r="C48" s="672"/>
      <c r="D48" s="672"/>
      <c r="E48" s="676" t="s">
        <v>821</v>
      </c>
      <c r="F48" s="680" t="s">
        <v>822</v>
      </c>
      <c r="G48" s="681"/>
      <c r="H48" s="682">
        <v>1541</v>
      </c>
      <c r="J48" s="668" t="str">
        <f t="shared" ref="J48:J49" si="9">E48</f>
        <v>(1) Earnings from 16th Section Property</v>
      </c>
      <c r="L48" s="668">
        <v>3</v>
      </c>
      <c r="M48" s="669">
        <v>3</v>
      </c>
      <c r="N48" s="668"/>
      <c r="O48" s="668">
        <v>1</v>
      </c>
      <c r="P48" s="668" t="str">
        <f>IFERROR(VLOOKUP(F48, [2]MOE!B:C, 2, FALSE), "No")</f>
        <v>No</v>
      </c>
      <c r="S48" s="670"/>
    </row>
    <row r="49" spans="1:19">
      <c r="A49" s="679">
        <v>1542000</v>
      </c>
      <c r="B49" s="672"/>
      <c r="C49" s="672"/>
      <c r="D49" s="672"/>
      <c r="E49" s="676" t="s">
        <v>823</v>
      </c>
      <c r="F49" s="680" t="s">
        <v>824</v>
      </c>
      <c r="G49" s="681"/>
      <c r="H49" s="682">
        <v>1542</v>
      </c>
      <c r="J49" s="668" t="str">
        <f t="shared" si="9"/>
        <v>(2) Earnings from Other Real Property</v>
      </c>
      <c r="L49" s="668">
        <v>3</v>
      </c>
      <c r="M49" s="669">
        <v>3</v>
      </c>
      <c r="N49" s="668"/>
      <c r="O49" s="668">
        <v>1</v>
      </c>
      <c r="P49" s="668" t="str">
        <f>IFERROR(VLOOKUP(F49, [2]MOE!B:C, 2, FALSE), "No")</f>
        <v>No</v>
      </c>
      <c r="S49" s="670"/>
    </row>
    <row r="50" spans="1:19">
      <c r="A50" s="671"/>
      <c r="B50" s="672"/>
      <c r="C50" s="678">
        <v>6</v>
      </c>
      <c r="D50" s="927" t="s">
        <v>434</v>
      </c>
      <c r="E50" s="926"/>
      <c r="F50" s="675"/>
      <c r="G50" s="672"/>
      <c r="H50" s="676"/>
      <c r="S50" s="670"/>
    </row>
    <row r="51" spans="1:19">
      <c r="A51" s="679">
        <v>1610000</v>
      </c>
      <c r="B51" s="672"/>
      <c r="C51" s="672"/>
      <c r="D51" s="672" t="s">
        <v>759</v>
      </c>
      <c r="E51" s="676" t="s">
        <v>825</v>
      </c>
      <c r="F51" s="680" t="s">
        <v>826</v>
      </c>
      <c r="G51" s="681"/>
      <c r="H51" s="682">
        <v>1610</v>
      </c>
      <c r="J51" s="668" t="str">
        <f t="shared" ref="J51:J52" si="10">E51</f>
        <v>Income from Meals</v>
      </c>
      <c r="L51" s="668">
        <v>4</v>
      </c>
      <c r="M51" s="669">
        <v>4</v>
      </c>
      <c r="N51" s="668"/>
      <c r="O51" s="668">
        <v>1</v>
      </c>
      <c r="P51" s="668" t="str">
        <f>IFERROR(VLOOKUP(F51, [2]MOE!B:C, 2, FALSE), "No")</f>
        <v>No</v>
      </c>
      <c r="S51" s="670"/>
    </row>
    <row r="52" spans="1:19">
      <c r="A52" s="679">
        <v>1620000</v>
      </c>
      <c r="B52" s="681"/>
      <c r="C52" s="681"/>
      <c r="D52" s="681" t="s">
        <v>777</v>
      </c>
      <c r="E52" s="686" t="s">
        <v>827</v>
      </c>
      <c r="F52" s="680" t="s">
        <v>828</v>
      </c>
      <c r="G52" s="681"/>
      <c r="H52" s="682">
        <v>1620</v>
      </c>
      <c r="J52" s="668" t="str">
        <f t="shared" si="10"/>
        <v>Income from Extra Sales</v>
      </c>
      <c r="L52" s="668">
        <v>4</v>
      </c>
      <c r="M52" s="669">
        <v>4</v>
      </c>
      <c r="N52" s="668"/>
      <c r="O52" s="668">
        <v>1</v>
      </c>
      <c r="P52" s="668" t="str">
        <f>IFERROR(VLOOKUP(F52, [2]MOE!B:C, 2, FALSE), "No")</f>
        <v>No</v>
      </c>
      <c r="S52" s="670"/>
    </row>
    <row r="53" spans="1:19">
      <c r="A53" s="671"/>
      <c r="B53" s="672"/>
      <c r="C53" s="678">
        <v>7</v>
      </c>
      <c r="D53" s="927" t="s">
        <v>829</v>
      </c>
      <c r="E53" s="926"/>
      <c r="F53" s="675"/>
      <c r="G53" s="672"/>
      <c r="H53" s="676"/>
      <c r="S53" s="670"/>
    </row>
    <row r="54" spans="1:19">
      <c r="A54" s="679">
        <v>1750000</v>
      </c>
      <c r="B54" s="672"/>
      <c r="C54" s="672"/>
      <c r="D54" s="687" t="s">
        <v>759</v>
      </c>
      <c r="E54" s="688" t="s">
        <v>830</v>
      </c>
      <c r="F54" s="689" t="s">
        <v>831</v>
      </c>
      <c r="G54" s="690"/>
      <c r="H54" s="691">
        <v>1750</v>
      </c>
      <c r="J54" s="668" t="str">
        <f t="shared" ref="J54:J56" si="11">E54</f>
        <v>Revenue From Enterprise Activities</v>
      </c>
      <c r="L54" s="668">
        <v>8</v>
      </c>
      <c r="M54" s="669">
        <v>9</v>
      </c>
      <c r="N54" s="668"/>
      <c r="O54" s="668">
        <v>1</v>
      </c>
      <c r="P54" s="668" t="str">
        <f>IFERROR(VLOOKUP(F54, [2]MOE!B:C, 2, FALSE), "No")</f>
        <v>No</v>
      </c>
      <c r="S54" s="670"/>
    </row>
    <row r="55" spans="1:19">
      <c r="A55" s="679">
        <v>1760000</v>
      </c>
      <c r="B55" s="672"/>
      <c r="C55" s="672"/>
      <c r="D55" s="672" t="s">
        <v>777</v>
      </c>
      <c r="E55" s="676" t="s">
        <v>832</v>
      </c>
      <c r="F55" s="680" t="s">
        <v>833</v>
      </c>
      <c r="G55" s="681"/>
      <c r="H55" s="682">
        <v>1760</v>
      </c>
      <c r="J55" s="668" t="str">
        <f t="shared" si="11"/>
        <v>Revenue from Student Activities</v>
      </c>
      <c r="L55" s="668">
        <v>8</v>
      </c>
      <c r="M55" s="669">
        <v>9</v>
      </c>
      <c r="N55" s="668"/>
      <c r="O55" s="668">
        <v>1</v>
      </c>
      <c r="P55" s="668" t="str">
        <f>IFERROR(VLOOKUP(F55, [2]MOE!B:C, 2, FALSE), "No")</f>
        <v>No</v>
      </c>
      <c r="S55" s="670"/>
    </row>
    <row r="56" spans="1:19">
      <c r="A56" s="679">
        <v>1700000</v>
      </c>
      <c r="B56" s="672"/>
      <c r="C56" s="672"/>
      <c r="D56" s="672" t="s">
        <v>801</v>
      </c>
      <c r="E56" s="676" t="s">
        <v>834</v>
      </c>
      <c r="F56" s="680" t="s">
        <v>835</v>
      </c>
      <c r="G56" s="681"/>
      <c r="H56" s="682">
        <v>1700</v>
      </c>
      <c r="J56" s="668" t="str">
        <f t="shared" si="11"/>
        <v>Revenue Excluding Enterprise Activities</v>
      </c>
      <c r="L56" s="668">
        <v>8</v>
      </c>
      <c r="M56" s="669">
        <v>9</v>
      </c>
      <c r="N56" s="668"/>
      <c r="O56" s="668">
        <v>1</v>
      </c>
      <c r="P56" s="668" t="str">
        <f>IFERROR(VLOOKUP(F56, [2]MOE!B:C, 2, FALSE), "No")</f>
        <v>No</v>
      </c>
      <c r="S56" s="670"/>
    </row>
    <row r="57" spans="1:19">
      <c r="A57" s="679">
        <v>1800000</v>
      </c>
      <c r="B57" s="672"/>
      <c r="C57" s="678">
        <v>8</v>
      </c>
      <c r="D57" s="927" t="s">
        <v>836</v>
      </c>
      <c r="E57" s="926"/>
      <c r="F57" s="680" t="s">
        <v>837</v>
      </c>
      <c r="G57" s="681"/>
      <c r="H57" s="682">
        <v>1800</v>
      </c>
      <c r="J57" s="668" t="str">
        <f>D57</f>
        <v>Revenue From Community Service Activities</v>
      </c>
      <c r="L57" s="668">
        <v>8</v>
      </c>
      <c r="M57" s="669">
        <v>9</v>
      </c>
      <c r="N57" s="668"/>
      <c r="O57" s="668">
        <v>1</v>
      </c>
      <c r="P57" s="668" t="str">
        <f>IFERROR(VLOOKUP(F57, [2]MOE!B:C, 2, FALSE), "No")</f>
        <v>No</v>
      </c>
      <c r="S57" s="670"/>
    </row>
    <row r="58" spans="1:19">
      <c r="A58" s="671"/>
      <c r="B58" s="672"/>
      <c r="C58" s="678">
        <v>9</v>
      </c>
      <c r="D58" s="927" t="s">
        <v>838</v>
      </c>
      <c r="E58" s="926"/>
      <c r="F58" s="675"/>
      <c r="G58" s="672"/>
      <c r="H58" s="676"/>
      <c r="S58" s="670"/>
    </row>
    <row r="59" spans="1:19">
      <c r="A59" s="679">
        <v>1910000</v>
      </c>
      <c r="B59" s="672"/>
      <c r="C59" s="672"/>
      <c r="D59" s="672" t="s">
        <v>759</v>
      </c>
      <c r="E59" s="676" t="s">
        <v>839</v>
      </c>
      <c r="F59" s="680" t="s">
        <v>840</v>
      </c>
      <c r="G59" s="681"/>
      <c r="H59" s="682">
        <v>1910</v>
      </c>
      <c r="J59" s="668" t="str">
        <f t="shared" ref="J59:J69" si="12">E59</f>
        <v>Rentals</v>
      </c>
      <c r="L59" s="668">
        <v>8</v>
      </c>
      <c r="M59" s="669">
        <v>9</v>
      </c>
      <c r="N59" s="668"/>
      <c r="O59" s="668">
        <v>1</v>
      </c>
      <c r="P59" s="668" t="str">
        <f>IFERROR(VLOOKUP(F59, [2]MOE!B:C, 2, FALSE), "No")</f>
        <v>No</v>
      </c>
      <c r="S59" s="670"/>
    </row>
    <row r="60" spans="1:19">
      <c r="A60" s="679">
        <v>1920000</v>
      </c>
      <c r="B60" s="672"/>
      <c r="C60" s="672"/>
      <c r="D60" s="672" t="s">
        <v>777</v>
      </c>
      <c r="E60" s="676" t="s">
        <v>42</v>
      </c>
      <c r="F60" s="680" t="s">
        <v>841</v>
      </c>
      <c r="G60" s="681"/>
      <c r="H60" s="682">
        <v>1920</v>
      </c>
      <c r="J60" s="668" t="str">
        <f t="shared" si="12"/>
        <v>Contributions and Donations</v>
      </c>
      <c r="L60" s="668">
        <v>5</v>
      </c>
      <c r="M60" s="669">
        <v>5</v>
      </c>
      <c r="N60" s="668"/>
      <c r="O60" s="668">
        <v>1</v>
      </c>
      <c r="P60" s="668" t="str">
        <f>IFERROR(VLOOKUP(F60, [2]MOE!B:C, 2, FALSE), "No")</f>
        <v>No</v>
      </c>
      <c r="S60" s="670"/>
    </row>
    <row r="61" spans="1:19">
      <c r="A61" s="692">
        <v>1921000</v>
      </c>
      <c r="B61" s="693"/>
      <c r="C61" s="693"/>
      <c r="D61" s="693"/>
      <c r="E61" s="694" t="s">
        <v>842</v>
      </c>
      <c r="F61" s="695"/>
      <c r="G61" s="696"/>
      <c r="H61" s="697"/>
      <c r="I61" s="695"/>
      <c r="J61" s="695" t="str">
        <f t="shared" si="12"/>
        <v>Restricted Donations</v>
      </c>
      <c r="K61" s="668" t="s">
        <v>843</v>
      </c>
      <c r="L61" s="668">
        <v>5</v>
      </c>
      <c r="M61" s="668">
        <v>5</v>
      </c>
      <c r="O61" s="668">
        <v>1</v>
      </c>
      <c r="P61" s="668" t="str">
        <f>IFERROR(VLOOKUP(F61, [2]MOE!B:C, 2, FALSE), "No")</f>
        <v>No</v>
      </c>
      <c r="S61" s="670"/>
    </row>
    <row r="62" spans="1:19">
      <c r="A62" s="692">
        <v>1922000</v>
      </c>
      <c r="B62" s="693"/>
      <c r="C62" s="693"/>
      <c r="D62" s="693"/>
      <c r="E62" s="694" t="s">
        <v>844</v>
      </c>
      <c r="F62" s="695"/>
      <c r="G62" s="696"/>
      <c r="H62" s="697"/>
      <c r="I62" s="695"/>
      <c r="J62" s="695" t="str">
        <f t="shared" si="12"/>
        <v>Unrestricted donations</v>
      </c>
      <c r="K62" s="668" t="s">
        <v>843</v>
      </c>
      <c r="L62" s="668">
        <v>5</v>
      </c>
      <c r="M62" s="668">
        <v>5</v>
      </c>
      <c r="O62" s="668">
        <v>1</v>
      </c>
      <c r="P62" s="668" t="str">
        <f>IFERROR(VLOOKUP(F62, [2]MOE!B:C, 2, FALSE), "No")</f>
        <v>No</v>
      </c>
      <c r="S62" s="670"/>
    </row>
    <row r="63" spans="1:19">
      <c r="A63" s="692">
        <v>1923000</v>
      </c>
      <c r="B63" s="693"/>
      <c r="C63" s="693"/>
      <c r="D63" s="693"/>
      <c r="E63" s="694" t="s">
        <v>845</v>
      </c>
      <c r="F63" s="695"/>
      <c r="G63" s="696"/>
      <c r="H63" s="697"/>
      <c r="I63" s="695"/>
      <c r="J63" s="695" t="str">
        <f t="shared" si="12"/>
        <v>Fundraising Events</v>
      </c>
      <c r="K63" s="668" t="s">
        <v>843</v>
      </c>
      <c r="L63" s="668">
        <v>5</v>
      </c>
      <c r="M63" s="668">
        <v>5</v>
      </c>
      <c r="O63" s="668">
        <v>1</v>
      </c>
      <c r="P63" s="668" t="str">
        <f>IFERROR(VLOOKUP(F63, [2]MOE!B:C, 2, FALSE), "No")</f>
        <v>No</v>
      </c>
      <c r="S63" s="670"/>
    </row>
    <row r="64" spans="1:19">
      <c r="A64" s="679">
        <v>1930000</v>
      </c>
      <c r="B64" s="672"/>
      <c r="C64" s="672"/>
      <c r="D64" s="672" t="s">
        <v>801</v>
      </c>
      <c r="E64" s="676" t="s">
        <v>846</v>
      </c>
      <c r="F64" s="680" t="s">
        <v>847</v>
      </c>
      <c r="G64" s="681"/>
      <c r="H64" s="682">
        <v>1930</v>
      </c>
      <c r="J64" s="668" t="str">
        <f t="shared" si="12"/>
        <v>Gains/Losses on Sale of Capital Assets</v>
      </c>
      <c r="L64" s="668">
        <v>8</v>
      </c>
      <c r="M64" s="669">
        <v>9</v>
      </c>
      <c r="N64" s="668"/>
      <c r="O64" s="668">
        <v>1</v>
      </c>
      <c r="P64" s="668" t="str">
        <f>IFERROR(VLOOKUP(F64, [2]MOE!B:C, 2, FALSE), "No")</f>
        <v>No</v>
      </c>
      <c r="S64" s="670"/>
    </row>
    <row r="65" spans="1:19">
      <c r="A65" s="679">
        <v>1935000</v>
      </c>
      <c r="B65" s="672"/>
      <c r="C65" s="672"/>
      <c r="D65" s="672" t="s">
        <v>805</v>
      </c>
      <c r="E65" s="676" t="s">
        <v>848</v>
      </c>
      <c r="F65" s="680" t="s">
        <v>849</v>
      </c>
      <c r="G65" s="681"/>
      <c r="H65" s="682">
        <v>1935</v>
      </c>
      <c r="J65" s="668" t="str">
        <f t="shared" si="12"/>
        <v>Revenues from Judgements / Court Orders</v>
      </c>
      <c r="L65" s="668">
        <v>8</v>
      </c>
      <c r="M65" s="669">
        <v>9</v>
      </c>
      <c r="N65" s="668"/>
      <c r="O65" s="668">
        <v>1</v>
      </c>
      <c r="P65" s="668" t="str">
        <f>IFERROR(VLOOKUP(F65, [2]MOE!B:C, 2, FALSE), "No")</f>
        <v>No</v>
      </c>
      <c r="S65" s="670"/>
    </row>
    <row r="66" spans="1:19">
      <c r="A66" s="679">
        <v>1940000</v>
      </c>
      <c r="B66" s="672"/>
      <c r="C66" s="672"/>
      <c r="D66" s="672" t="s">
        <v>850</v>
      </c>
      <c r="E66" s="676" t="s">
        <v>851</v>
      </c>
      <c r="F66" s="680" t="s">
        <v>852</v>
      </c>
      <c r="G66" s="681"/>
      <c r="H66" s="682">
        <v>1940</v>
      </c>
      <c r="J66" s="668" t="str">
        <f t="shared" si="12"/>
        <v>Textbook Sales and Rentals</v>
      </c>
      <c r="L66" s="668">
        <v>8</v>
      </c>
      <c r="M66" s="669">
        <v>9</v>
      </c>
      <c r="N66" s="668"/>
      <c r="O66" s="668">
        <v>1</v>
      </c>
      <c r="P66" s="668" t="str">
        <f>IFERROR(VLOOKUP(F66, [2]MOE!B:C, 2, FALSE), "No")</f>
        <v>No</v>
      </c>
      <c r="S66" s="670"/>
    </row>
    <row r="67" spans="1:19">
      <c r="A67" s="679">
        <v>1950000</v>
      </c>
      <c r="B67" s="672"/>
      <c r="C67" s="672"/>
      <c r="D67" s="672" t="s">
        <v>853</v>
      </c>
      <c r="E67" s="676" t="s">
        <v>854</v>
      </c>
      <c r="F67" s="680" t="s">
        <v>855</v>
      </c>
      <c r="G67" s="681"/>
      <c r="H67" s="682">
        <v>1950</v>
      </c>
      <c r="J67" s="668" t="str">
        <f t="shared" si="12"/>
        <v>Misc. Revenue from Other LEAs</v>
      </c>
      <c r="L67" s="668">
        <v>8</v>
      </c>
      <c r="M67" s="669">
        <v>9</v>
      </c>
      <c r="N67" s="668"/>
      <c r="O67" s="668">
        <v>1</v>
      </c>
      <c r="P67" s="668" t="str">
        <f>IFERROR(VLOOKUP(F67, [2]MOE!B:C, 2, FALSE), "No")</f>
        <v>No</v>
      </c>
      <c r="S67" s="670"/>
    </row>
    <row r="68" spans="1:19">
      <c r="A68" s="679">
        <v>1960000</v>
      </c>
      <c r="B68" s="672"/>
      <c r="C68" s="672"/>
      <c r="D68" s="672" t="s">
        <v>856</v>
      </c>
      <c r="E68" s="676" t="s">
        <v>857</v>
      </c>
      <c r="F68" s="680" t="s">
        <v>858</v>
      </c>
      <c r="G68" s="681"/>
      <c r="H68" s="682">
        <v>1960</v>
      </c>
      <c r="J68" s="668" t="str">
        <f t="shared" si="12"/>
        <v>Services Provided Other Local Government</v>
      </c>
      <c r="L68" s="668">
        <v>8</v>
      </c>
      <c r="M68" s="669">
        <v>9</v>
      </c>
      <c r="N68" s="668"/>
      <c r="O68" s="668">
        <v>1</v>
      </c>
      <c r="P68" s="668" t="str">
        <f>IFERROR(VLOOKUP(F68, [2]MOE!B:C, 2, FALSE), "No")</f>
        <v>No</v>
      </c>
      <c r="S68" s="670"/>
    </row>
    <row r="69" spans="1:19">
      <c r="A69" s="679">
        <v>1970000</v>
      </c>
      <c r="B69" s="672"/>
      <c r="C69" s="672"/>
      <c r="D69" s="672" t="s">
        <v>859</v>
      </c>
      <c r="E69" s="676" t="s">
        <v>860</v>
      </c>
      <c r="F69" s="683" t="s">
        <v>861</v>
      </c>
      <c r="G69" s="672"/>
      <c r="H69" s="684">
        <v>1970</v>
      </c>
      <c r="J69" s="668" t="str">
        <f t="shared" si="12"/>
        <v>Misc. Revenue from Local Governments</v>
      </c>
      <c r="L69" s="668">
        <v>8</v>
      </c>
      <c r="M69" s="669">
        <v>9</v>
      </c>
      <c r="N69" s="668"/>
      <c r="O69" s="668">
        <v>1</v>
      </c>
      <c r="P69" s="668" t="str">
        <f>IFERROR(VLOOKUP(F69, [2]MOE!B:C, 2, FALSE), "No")</f>
        <v>No</v>
      </c>
      <c r="S69" s="670"/>
    </row>
    <row r="70" spans="1:19">
      <c r="A70" s="671"/>
      <c r="B70" s="672"/>
      <c r="C70" s="672"/>
      <c r="D70" s="672" t="s">
        <v>862</v>
      </c>
      <c r="E70" s="676" t="s">
        <v>863</v>
      </c>
      <c r="F70" s="675"/>
      <c r="G70" s="672"/>
      <c r="H70" s="676"/>
      <c r="S70" s="670"/>
    </row>
    <row r="71" spans="1:19">
      <c r="A71" s="679">
        <v>1991000</v>
      </c>
      <c r="B71" s="672"/>
      <c r="C71" s="672"/>
      <c r="D71" s="672"/>
      <c r="E71" s="676" t="s">
        <v>864</v>
      </c>
      <c r="F71" s="680" t="s">
        <v>865</v>
      </c>
      <c r="G71" s="681"/>
      <c r="H71" s="682">
        <v>1991</v>
      </c>
      <c r="J71" s="668" t="str">
        <f t="shared" ref="J71:J79" si="13">E71</f>
        <v>(1) Medicaid Reimbursement</v>
      </c>
      <c r="L71" s="668">
        <v>8</v>
      </c>
      <c r="M71" s="669">
        <v>9</v>
      </c>
      <c r="N71" s="668"/>
      <c r="O71" s="668">
        <v>1</v>
      </c>
      <c r="P71" s="668" t="str">
        <f>IFERROR(VLOOKUP(F71, [2]MOE!B:C, 2, FALSE), "No")</f>
        <v>No</v>
      </c>
      <c r="S71" s="670"/>
    </row>
    <row r="72" spans="1:19">
      <c r="A72" s="679">
        <v>1992000</v>
      </c>
      <c r="B72" s="672"/>
      <c r="C72" s="672"/>
      <c r="D72" s="672"/>
      <c r="E72" s="676" t="s">
        <v>866</v>
      </c>
      <c r="F72" s="680" t="s">
        <v>867</v>
      </c>
      <c r="G72" s="681"/>
      <c r="H72" s="682">
        <v>1992</v>
      </c>
      <c r="J72" s="668" t="str">
        <f t="shared" si="13"/>
        <v>(2) Kid Med</v>
      </c>
      <c r="L72" s="668">
        <v>8</v>
      </c>
      <c r="M72" s="669">
        <v>9</v>
      </c>
      <c r="N72" s="668"/>
      <c r="O72" s="668">
        <v>1</v>
      </c>
      <c r="P72" s="668" t="str">
        <f>IFERROR(VLOOKUP(F72, [2]MOE!B:C, 2, FALSE), "No")</f>
        <v>No</v>
      </c>
      <c r="S72" s="670"/>
    </row>
    <row r="73" spans="1:19">
      <c r="A73" s="679">
        <v>1993000</v>
      </c>
      <c r="B73" s="672"/>
      <c r="C73" s="672"/>
      <c r="D73" s="672"/>
      <c r="E73" s="676" t="s">
        <v>868</v>
      </c>
      <c r="F73" s="680" t="s">
        <v>869</v>
      </c>
      <c r="G73" s="681"/>
      <c r="H73" s="682">
        <v>1993</v>
      </c>
      <c r="J73" s="668" t="str">
        <f t="shared" si="13"/>
        <v>(3) Refund Of PY Expend. (E-Rate, etc.)</v>
      </c>
      <c r="L73" s="668">
        <v>6</v>
      </c>
      <c r="M73" s="669">
        <v>6</v>
      </c>
      <c r="N73" s="668"/>
      <c r="O73" s="668">
        <v>1</v>
      </c>
      <c r="P73" s="668" t="str">
        <f>IFERROR(VLOOKUP(F73, [2]MOE!B:C, 2, FALSE), "No")</f>
        <v>No</v>
      </c>
      <c r="S73" s="670"/>
    </row>
    <row r="74" spans="1:19">
      <c r="A74" s="679">
        <v>1994000</v>
      </c>
      <c r="B74" s="672"/>
      <c r="C74" s="672"/>
      <c r="D74" s="672"/>
      <c r="E74" s="676" t="s">
        <v>870</v>
      </c>
      <c r="F74" s="683" t="s">
        <v>871</v>
      </c>
      <c r="G74" s="672"/>
      <c r="H74" s="684">
        <v>1994</v>
      </c>
      <c r="J74" s="668" t="str">
        <f t="shared" si="13"/>
        <v>(4) Local Revenue Trans. From Other LEA</v>
      </c>
      <c r="L74" s="668">
        <v>7</v>
      </c>
      <c r="M74" s="669">
        <v>2</v>
      </c>
      <c r="N74" s="668"/>
      <c r="O74" s="668">
        <v>1</v>
      </c>
      <c r="P74" s="668" t="str">
        <f>IFERROR(VLOOKUP(F74, [2]MOE!B:C, 2, FALSE), "No")</f>
        <v>No</v>
      </c>
      <c r="S74" s="670"/>
    </row>
    <row r="75" spans="1:19">
      <c r="A75" s="679">
        <v>1999000</v>
      </c>
      <c r="B75" s="672"/>
      <c r="C75" s="672"/>
      <c r="D75" s="672"/>
      <c r="E75" s="676" t="s">
        <v>872</v>
      </c>
      <c r="F75" s="683" t="s">
        <v>873</v>
      </c>
      <c r="G75" s="672"/>
      <c r="H75" s="684">
        <v>1999</v>
      </c>
      <c r="J75" s="668" t="str">
        <f t="shared" si="13"/>
        <v>(5) Other Miscellaneous Revenues</v>
      </c>
      <c r="L75" s="668">
        <v>8</v>
      </c>
      <c r="M75" s="669">
        <v>9</v>
      </c>
      <c r="N75" s="668"/>
      <c r="O75" s="668">
        <v>1</v>
      </c>
      <c r="P75" s="668" t="str">
        <f>IFERROR(VLOOKUP(F75, [2]MOE!B:C, 2, FALSE), "No")</f>
        <v>No</v>
      </c>
      <c r="S75" s="670"/>
    </row>
    <row r="76" spans="1:19">
      <c r="A76" s="692">
        <v>4444444</v>
      </c>
      <c r="B76" s="693"/>
      <c r="C76" s="693"/>
      <c r="D76" s="693"/>
      <c r="E76" s="694" t="s">
        <v>874</v>
      </c>
      <c r="F76" s="698" t="s">
        <v>873</v>
      </c>
      <c r="G76" s="696"/>
      <c r="H76" s="697">
        <v>1999</v>
      </c>
      <c r="I76" s="695"/>
      <c r="J76" s="695" t="str">
        <f t="shared" si="13"/>
        <v>Uncategorized Revenue</v>
      </c>
      <c r="K76" s="668" t="s">
        <v>843</v>
      </c>
      <c r="L76" s="668">
        <v>8</v>
      </c>
      <c r="M76" s="669">
        <v>9</v>
      </c>
      <c r="N76" s="668"/>
      <c r="O76" s="668">
        <v>1</v>
      </c>
      <c r="P76" s="668" t="str">
        <f>IFERROR(VLOOKUP(F76, [2]MOE!B:C, 2, FALSE), "No")</f>
        <v>No</v>
      </c>
      <c r="S76" s="670"/>
    </row>
    <row r="77" spans="1:19">
      <c r="A77" s="699">
        <v>1999100</v>
      </c>
      <c r="B77" s="700"/>
      <c r="C77" s="700"/>
      <c r="D77" s="700"/>
      <c r="E77" s="701" t="s">
        <v>875</v>
      </c>
      <c r="F77" s="698" t="s">
        <v>873</v>
      </c>
      <c r="G77" s="693"/>
      <c r="H77" s="702">
        <v>1999</v>
      </c>
      <c r="I77" s="695"/>
      <c r="J77" s="695" t="str">
        <f t="shared" si="13"/>
        <v>Other Income</v>
      </c>
      <c r="K77" s="668" t="s">
        <v>876</v>
      </c>
      <c r="L77" s="668">
        <v>8</v>
      </c>
      <c r="M77" s="669">
        <v>9</v>
      </c>
      <c r="N77" s="668"/>
      <c r="O77" s="668">
        <v>1</v>
      </c>
      <c r="P77" s="668" t="str">
        <f>IFERROR(VLOOKUP(F77, [2]MOE!B:C, 2, FALSE), "No")</f>
        <v>No</v>
      </c>
      <c r="S77" s="670"/>
    </row>
    <row r="78" spans="1:19">
      <c r="A78" s="699">
        <v>1999200</v>
      </c>
      <c r="B78" s="700"/>
      <c r="C78" s="700"/>
      <c r="D78" s="700"/>
      <c r="E78" s="701" t="s">
        <v>877</v>
      </c>
      <c r="F78" s="698" t="s">
        <v>873</v>
      </c>
      <c r="G78" s="693"/>
      <c r="H78" s="702">
        <v>1999</v>
      </c>
      <c r="I78" s="695"/>
      <c r="J78" s="695" t="str">
        <f t="shared" si="13"/>
        <v>NOLA PS Student Needs Fund</v>
      </c>
      <c r="K78" s="668" t="s">
        <v>876</v>
      </c>
      <c r="L78" s="668">
        <v>8</v>
      </c>
      <c r="M78" s="669">
        <v>9</v>
      </c>
      <c r="N78" s="668"/>
      <c r="O78" s="668">
        <v>1</v>
      </c>
      <c r="P78" s="668" t="str">
        <f>IFERROR(VLOOKUP(F78, [2]MOE!B:C, 2, FALSE), "No")</f>
        <v>No</v>
      </c>
      <c r="S78" s="670"/>
    </row>
    <row r="79" spans="1:19">
      <c r="A79" s="699">
        <v>1999300</v>
      </c>
      <c r="B79" s="700"/>
      <c r="C79" s="700"/>
      <c r="D79" s="700"/>
      <c r="E79" s="701" t="s">
        <v>878</v>
      </c>
      <c r="F79" s="698" t="s">
        <v>873</v>
      </c>
      <c r="G79" s="693"/>
      <c r="H79" s="702">
        <v>1999</v>
      </c>
      <c r="I79" s="695"/>
      <c r="J79" s="695" t="str">
        <f t="shared" si="13"/>
        <v>Expulsion Fee Revenue</v>
      </c>
      <c r="K79" s="668" t="s">
        <v>876</v>
      </c>
      <c r="L79" s="668">
        <v>8</v>
      </c>
      <c r="M79" s="669">
        <v>9</v>
      </c>
      <c r="N79" s="668"/>
      <c r="O79" s="668">
        <v>1</v>
      </c>
      <c r="P79" s="668" t="str">
        <f>IFERROR(VLOOKUP(F79, [2]MOE!B:C, 2, FALSE), "No")</f>
        <v>No</v>
      </c>
      <c r="S79" s="670"/>
    </row>
    <row r="80" spans="1:19">
      <c r="A80" s="671"/>
      <c r="B80" s="677"/>
      <c r="C80" s="677"/>
      <c r="D80" s="677"/>
      <c r="E80" s="703"/>
      <c r="F80" s="704"/>
      <c r="G80" s="677"/>
      <c r="H80" s="703"/>
      <c r="S80" s="670"/>
    </row>
    <row r="81" spans="1:19">
      <c r="A81" s="671"/>
      <c r="B81" s="677"/>
      <c r="C81" s="677"/>
      <c r="D81" s="677"/>
      <c r="E81" s="703"/>
      <c r="F81" s="704"/>
      <c r="G81" s="677"/>
      <c r="H81" s="703"/>
      <c r="S81" s="670"/>
    </row>
    <row r="82" spans="1:19">
      <c r="A82" s="671"/>
      <c r="B82" s="677"/>
      <c r="C82" s="677"/>
      <c r="D82" s="677"/>
      <c r="E82" s="703"/>
      <c r="F82" s="704"/>
      <c r="G82" s="677"/>
      <c r="H82" s="703"/>
      <c r="S82" s="670"/>
    </row>
    <row r="83" spans="1:19">
      <c r="A83" s="671"/>
      <c r="B83" s="677"/>
      <c r="C83" s="677"/>
      <c r="D83" s="677"/>
      <c r="E83" s="703"/>
      <c r="F83" s="704"/>
      <c r="G83" s="677"/>
      <c r="H83" s="703"/>
      <c r="S83" s="670"/>
    </row>
    <row r="84" spans="1:19">
      <c r="A84" s="671"/>
      <c r="B84" s="677"/>
      <c r="C84" s="677"/>
      <c r="D84" s="677"/>
      <c r="E84" s="703"/>
      <c r="F84" s="704"/>
      <c r="G84" s="677"/>
      <c r="H84" s="703"/>
      <c r="S84" s="670"/>
    </row>
    <row r="85" spans="1:19" ht="16" thickBot="1">
      <c r="A85" s="671"/>
      <c r="B85" s="677"/>
      <c r="C85" s="677"/>
      <c r="D85" s="677"/>
      <c r="E85" s="703"/>
      <c r="F85" s="704"/>
      <c r="G85" s="677"/>
      <c r="H85" s="703"/>
      <c r="S85" s="670"/>
    </row>
    <row r="86" spans="1:19" ht="16.5" thickTop="1" thickBot="1">
      <c r="A86" s="671"/>
      <c r="B86" s="931" t="s">
        <v>879</v>
      </c>
      <c r="C86" s="930"/>
      <c r="D86" s="930"/>
      <c r="E86" s="932"/>
      <c r="F86" s="705" t="s">
        <v>661</v>
      </c>
      <c r="G86" s="706"/>
      <c r="H86" s="707"/>
      <c r="S86" s="670"/>
    </row>
    <row r="87" spans="1:19" ht="16" thickTop="1">
      <c r="A87" s="671"/>
      <c r="B87" s="673"/>
      <c r="C87" s="672"/>
      <c r="D87" s="672"/>
      <c r="E87" s="676"/>
      <c r="F87" s="675"/>
      <c r="G87" s="672"/>
      <c r="H87" s="676"/>
      <c r="S87" s="670"/>
    </row>
    <row r="88" spans="1:19">
      <c r="A88" s="671"/>
      <c r="B88" s="677" t="s">
        <v>880</v>
      </c>
      <c r="C88" s="921" t="s">
        <v>44</v>
      </c>
      <c r="D88" s="795"/>
      <c r="E88" s="926"/>
      <c r="F88" s="675"/>
      <c r="G88" s="672"/>
      <c r="H88" s="676"/>
      <c r="S88" s="670"/>
    </row>
    <row r="89" spans="1:19">
      <c r="A89" s="671"/>
      <c r="B89" s="672"/>
      <c r="C89" s="678">
        <v>10</v>
      </c>
      <c r="D89" s="927" t="s">
        <v>881</v>
      </c>
      <c r="E89" s="926"/>
      <c r="F89" s="675"/>
      <c r="G89" s="672"/>
      <c r="H89" s="676"/>
      <c r="S89" s="670"/>
    </row>
    <row r="90" spans="1:19">
      <c r="A90" s="679">
        <v>3110000</v>
      </c>
      <c r="B90" s="672"/>
      <c r="C90" s="672"/>
      <c r="D90" s="672" t="s">
        <v>759</v>
      </c>
      <c r="E90" s="676" t="s">
        <v>882</v>
      </c>
      <c r="F90" s="680" t="s">
        <v>666</v>
      </c>
      <c r="G90" s="681"/>
      <c r="H90" s="682">
        <v>3110</v>
      </c>
      <c r="J90" s="668" t="str">
        <f t="shared" ref="J90:J93" si="14">E90</f>
        <v>State Public School Fund (MFP)-exc. Sch. Lunch</v>
      </c>
      <c r="L90" s="668">
        <v>16</v>
      </c>
      <c r="M90" s="669">
        <v>17</v>
      </c>
      <c r="N90" s="668"/>
      <c r="O90" s="668">
        <v>3</v>
      </c>
      <c r="P90" s="668" t="str">
        <f>IFERROR(VLOOKUP(F90, [2]MOE!B:C, 2, FALSE), "No")</f>
        <v>No</v>
      </c>
      <c r="S90" s="670"/>
    </row>
    <row r="91" spans="1:19">
      <c r="A91" s="679">
        <v>3115000</v>
      </c>
      <c r="B91" s="672"/>
      <c r="C91" s="672"/>
      <c r="D91" s="672" t="s">
        <v>777</v>
      </c>
      <c r="E91" s="676" t="s">
        <v>883</v>
      </c>
      <c r="F91" s="680" t="s">
        <v>668</v>
      </c>
      <c r="G91" s="681"/>
      <c r="H91" s="682">
        <v>3115</v>
      </c>
      <c r="J91" s="668" t="str">
        <f t="shared" si="14"/>
        <v>State Public School Fund (MFP) - Sch. Lunch</v>
      </c>
      <c r="L91" s="668">
        <v>16</v>
      </c>
      <c r="M91" s="669">
        <v>17</v>
      </c>
      <c r="N91" s="668"/>
      <c r="O91" s="668">
        <v>4</v>
      </c>
      <c r="P91" s="668" t="str">
        <f>IFERROR(VLOOKUP(F91, [2]MOE!B:C, 2, FALSE), "No")</f>
        <v>No</v>
      </c>
      <c r="S91" s="670"/>
    </row>
    <row r="92" spans="1:19">
      <c r="A92" s="679">
        <v>3120000</v>
      </c>
      <c r="B92" s="672"/>
      <c r="C92" s="672"/>
      <c r="D92" s="672" t="s">
        <v>801</v>
      </c>
      <c r="E92" s="676" t="s">
        <v>884</v>
      </c>
      <c r="F92" s="680" t="s">
        <v>885</v>
      </c>
      <c r="G92" s="681"/>
      <c r="H92" s="682">
        <v>3120</v>
      </c>
      <c r="J92" s="668" t="str">
        <f t="shared" si="14"/>
        <v>16th Section Land Fund Interest</v>
      </c>
      <c r="L92" s="668">
        <v>25</v>
      </c>
      <c r="M92" s="669">
        <v>25</v>
      </c>
      <c r="N92" s="668"/>
      <c r="O92" s="668">
        <v>2</v>
      </c>
      <c r="P92" s="668" t="str">
        <f>IFERROR(VLOOKUP(F92, [2]MOE!B:C, 2, FALSE), "No")</f>
        <v>No</v>
      </c>
      <c r="S92" s="670"/>
    </row>
    <row r="93" spans="1:19">
      <c r="A93" s="679">
        <v>3190000</v>
      </c>
      <c r="B93" s="672"/>
      <c r="C93" s="672"/>
      <c r="D93" s="672" t="s">
        <v>805</v>
      </c>
      <c r="E93" s="676" t="s">
        <v>47</v>
      </c>
      <c r="F93" s="680" t="s">
        <v>886</v>
      </c>
      <c r="G93" s="681"/>
      <c r="H93" s="682">
        <v>3190</v>
      </c>
      <c r="J93" s="668" t="str">
        <f t="shared" si="14"/>
        <v>Other Unrestricted Revenues</v>
      </c>
      <c r="L93" s="668">
        <v>17</v>
      </c>
      <c r="M93" s="669">
        <v>18</v>
      </c>
      <c r="N93" s="668"/>
      <c r="O93" s="668">
        <v>2</v>
      </c>
      <c r="P93" s="668" t="str">
        <f>IFERROR(VLOOKUP(F93, [2]MOE!B:C, 2, FALSE), "No")</f>
        <v>No</v>
      </c>
      <c r="S93" s="670"/>
    </row>
    <row r="94" spans="1:19">
      <c r="A94" s="679">
        <v>0</v>
      </c>
      <c r="B94" s="672"/>
      <c r="C94" s="678">
        <v>11</v>
      </c>
      <c r="D94" s="927" t="s">
        <v>887</v>
      </c>
      <c r="E94" s="926"/>
      <c r="F94" s="675"/>
      <c r="G94" s="672"/>
      <c r="H94" s="676"/>
      <c r="J94" s="668" t="str">
        <f>D94</f>
        <v>State Restricted Grants-In-Aid</v>
      </c>
      <c r="S94" s="670"/>
    </row>
    <row r="95" spans="1:19">
      <c r="A95" s="679">
        <v>3210000</v>
      </c>
      <c r="B95" s="672"/>
      <c r="C95" s="672"/>
      <c r="D95" s="672" t="s">
        <v>759</v>
      </c>
      <c r="E95" s="676" t="s">
        <v>888</v>
      </c>
      <c r="F95" s="680" t="s">
        <v>889</v>
      </c>
      <c r="G95" s="681"/>
      <c r="H95" s="682">
        <v>3210</v>
      </c>
      <c r="J95" s="668" t="str">
        <f t="shared" ref="J95:J103" si="15">E95</f>
        <v>Special Education (excluding MFP)</v>
      </c>
      <c r="L95" s="668">
        <v>25</v>
      </c>
      <c r="M95" s="669">
        <v>25</v>
      </c>
      <c r="N95" s="668"/>
      <c r="O95" s="668">
        <v>2</v>
      </c>
      <c r="P95" s="668" t="str">
        <f>IFERROR(VLOOKUP(F95, [2]MOE!B:C, 2, FALSE), "No")</f>
        <v>No</v>
      </c>
      <c r="S95" s="670"/>
    </row>
    <row r="96" spans="1:19">
      <c r="A96" s="679">
        <v>3220000</v>
      </c>
      <c r="B96" s="672"/>
      <c r="C96" s="672"/>
      <c r="D96" s="672" t="s">
        <v>777</v>
      </c>
      <c r="E96" s="675" t="s">
        <v>49</v>
      </c>
      <c r="F96" s="680" t="s">
        <v>890</v>
      </c>
      <c r="G96" s="681"/>
      <c r="H96" s="682">
        <v>3220</v>
      </c>
      <c r="J96" s="668" t="str">
        <f t="shared" si="15"/>
        <v>Education Support Fund (8g)</v>
      </c>
      <c r="L96" s="668">
        <v>19</v>
      </c>
      <c r="M96" s="669">
        <v>20</v>
      </c>
      <c r="N96" s="668"/>
      <c r="O96" s="668">
        <v>2</v>
      </c>
      <c r="P96" s="668" t="str">
        <f>IFERROR(VLOOKUP(F96, [2]MOE!B:C, 2, FALSE), "No")</f>
        <v>No</v>
      </c>
      <c r="S96" s="670"/>
    </row>
    <row r="97" spans="1:19">
      <c r="A97" s="679">
        <v>3223000</v>
      </c>
      <c r="B97" s="672"/>
      <c r="C97" s="672"/>
      <c r="D97" s="672" t="s">
        <v>801</v>
      </c>
      <c r="E97" s="676" t="s">
        <v>891</v>
      </c>
      <c r="F97" s="680" t="s">
        <v>892</v>
      </c>
      <c r="G97" s="681"/>
      <c r="H97" s="682">
        <v>3223</v>
      </c>
      <c r="J97" s="668" t="str">
        <f t="shared" si="15"/>
        <v>16th Section Land Funds (Withdrawals)</v>
      </c>
      <c r="L97" s="668">
        <v>25</v>
      </c>
      <c r="M97" s="669">
        <v>25</v>
      </c>
      <c r="N97" s="668"/>
      <c r="O97" s="668">
        <v>2</v>
      </c>
      <c r="P97" s="668" t="str">
        <f>IFERROR(VLOOKUP(F97, [2]MOE!B:C, 2, FALSE), "No")</f>
        <v>No</v>
      </c>
      <c r="S97" s="670"/>
    </row>
    <row r="98" spans="1:19">
      <c r="A98" s="679">
        <v>3225000</v>
      </c>
      <c r="B98" s="672"/>
      <c r="C98" s="672"/>
      <c r="D98" s="672" t="s">
        <v>805</v>
      </c>
      <c r="E98" s="676" t="s">
        <v>893</v>
      </c>
      <c r="F98" s="680" t="s">
        <v>894</v>
      </c>
      <c r="G98" s="681"/>
      <c r="H98" s="682">
        <v>3225</v>
      </c>
      <c r="J98" s="668" t="str">
        <f t="shared" si="15"/>
        <v>Adult Education</v>
      </c>
      <c r="L98" s="668">
        <v>25</v>
      </c>
      <c r="M98" s="669">
        <v>25</v>
      </c>
      <c r="N98" s="668"/>
      <c r="O98" s="668">
        <v>2</v>
      </c>
      <c r="P98" s="668" t="str">
        <f>IFERROR(VLOOKUP(F98, [2]MOE!B:C, 2, FALSE), "No")</f>
        <v>No</v>
      </c>
      <c r="S98" s="670"/>
    </row>
    <row r="99" spans="1:19">
      <c r="A99" s="679">
        <v>3230000</v>
      </c>
      <c r="B99" s="672"/>
      <c r="C99" s="672"/>
      <c r="D99" s="672" t="s">
        <v>850</v>
      </c>
      <c r="E99" s="676" t="s">
        <v>50</v>
      </c>
      <c r="F99" s="680" t="s">
        <v>895</v>
      </c>
      <c r="G99" s="681"/>
      <c r="H99" s="682">
        <v>3230</v>
      </c>
      <c r="J99" s="668" t="str">
        <f t="shared" si="15"/>
        <v>PIP</v>
      </c>
      <c r="L99" s="668">
        <v>20</v>
      </c>
      <c r="M99" s="669">
        <v>21</v>
      </c>
      <c r="N99" s="668"/>
      <c r="O99" s="668">
        <v>2</v>
      </c>
      <c r="P99" s="668" t="str">
        <f>IFERROR(VLOOKUP(F99, [2]MOE!B:C, 2, FALSE), "No")</f>
        <v>No</v>
      </c>
      <c r="S99" s="670"/>
    </row>
    <row r="100" spans="1:19">
      <c r="A100" s="679">
        <v>3240000</v>
      </c>
      <c r="B100" s="672"/>
      <c r="C100" s="672"/>
      <c r="D100" s="672" t="s">
        <v>853</v>
      </c>
      <c r="E100" s="676" t="s">
        <v>896</v>
      </c>
      <c r="F100" s="680" t="s">
        <v>897</v>
      </c>
      <c r="G100" s="681"/>
      <c r="H100" s="682">
        <v>3240</v>
      </c>
      <c r="J100" s="668" t="str">
        <f t="shared" si="15"/>
        <v>LA-4</v>
      </c>
      <c r="L100" s="668">
        <v>22</v>
      </c>
      <c r="M100" s="669">
        <v>23</v>
      </c>
      <c r="N100" s="668"/>
      <c r="O100" s="668">
        <v>2</v>
      </c>
      <c r="P100" s="668" t="str">
        <f>IFERROR(VLOOKUP(F100, [2]MOE!B:C, 2, FALSE), "No")</f>
        <v>No</v>
      </c>
      <c r="S100" s="670"/>
    </row>
    <row r="101" spans="1:19">
      <c r="A101" s="679">
        <v>3250000</v>
      </c>
      <c r="B101" s="672"/>
      <c r="C101" s="672"/>
      <c r="D101" s="672" t="s">
        <v>856</v>
      </c>
      <c r="E101" s="676" t="s">
        <v>898</v>
      </c>
      <c r="F101" s="680" t="s">
        <v>899</v>
      </c>
      <c r="G101" s="681"/>
      <c r="H101" s="682">
        <v>3250</v>
      </c>
      <c r="J101" s="668" t="str">
        <f t="shared" si="15"/>
        <v>Non-Public Transportation</v>
      </c>
      <c r="L101" s="668">
        <v>25</v>
      </c>
      <c r="M101" s="669">
        <v>25</v>
      </c>
      <c r="N101" s="668"/>
      <c r="O101" s="668">
        <v>2</v>
      </c>
      <c r="P101" s="668" t="str">
        <f>IFERROR(VLOOKUP(F101, [2]MOE!B:C, 2, FALSE), "No")</f>
        <v>No</v>
      </c>
      <c r="S101" s="670"/>
    </row>
    <row r="102" spans="1:19">
      <c r="A102" s="679">
        <v>3255000</v>
      </c>
      <c r="B102" s="672"/>
      <c r="C102" s="672"/>
      <c r="D102" s="672" t="s">
        <v>859</v>
      </c>
      <c r="E102" s="676" t="s">
        <v>900</v>
      </c>
      <c r="F102" s="680" t="s">
        <v>901</v>
      </c>
      <c r="G102" s="681"/>
      <c r="H102" s="682">
        <v>3255</v>
      </c>
      <c r="J102" s="668" t="str">
        <f t="shared" si="15"/>
        <v>Non-Public Textbook</v>
      </c>
      <c r="L102" s="668">
        <v>25</v>
      </c>
      <c r="M102" s="669">
        <v>25</v>
      </c>
      <c r="N102" s="668"/>
      <c r="O102" s="668">
        <v>2</v>
      </c>
      <c r="P102" s="668" t="str">
        <f>IFERROR(VLOOKUP(F102, [2]MOE!B:C, 2, FALSE), "No")</f>
        <v>No</v>
      </c>
      <c r="S102" s="670"/>
    </row>
    <row r="103" spans="1:19">
      <c r="A103" s="679">
        <v>3290000</v>
      </c>
      <c r="B103" s="672"/>
      <c r="C103" s="672"/>
      <c r="D103" s="672" t="s">
        <v>862</v>
      </c>
      <c r="E103" s="676" t="s">
        <v>902</v>
      </c>
      <c r="F103" s="680" t="s">
        <v>903</v>
      </c>
      <c r="G103" s="681"/>
      <c r="H103" s="682">
        <v>3290</v>
      </c>
      <c r="J103" s="668" t="str">
        <f t="shared" si="15"/>
        <v>Other Restricted Revenues</v>
      </c>
      <c r="L103" s="668">
        <v>25</v>
      </c>
      <c r="M103" s="669">
        <v>25</v>
      </c>
      <c r="N103" s="668"/>
      <c r="O103" s="668">
        <v>2</v>
      </c>
      <c r="P103" s="668" t="str">
        <f>IFERROR(VLOOKUP(F103, [2]MOE!B:C, 2, FALSE), "No")</f>
        <v>No</v>
      </c>
      <c r="S103" s="670"/>
    </row>
    <row r="104" spans="1:19">
      <c r="A104" s="679">
        <v>0</v>
      </c>
      <c r="B104" s="672"/>
      <c r="C104" s="678">
        <v>12</v>
      </c>
      <c r="D104" s="927" t="s">
        <v>904</v>
      </c>
      <c r="E104" s="926"/>
      <c r="F104" s="675"/>
      <c r="G104" s="672"/>
      <c r="H104" s="676"/>
      <c r="J104" s="668" t="str">
        <f>D104</f>
        <v>State Revenue in Lieu of Taxes</v>
      </c>
      <c r="S104" s="670"/>
    </row>
    <row r="105" spans="1:19">
      <c r="A105" s="679">
        <v>0</v>
      </c>
      <c r="B105" s="672"/>
      <c r="C105" s="672"/>
      <c r="D105" s="672" t="s">
        <v>759</v>
      </c>
      <c r="E105" s="676" t="s">
        <v>905</v>
      </c>
      <c r="F105" s="675"/>
      <c r="G105" s="672"/>
      <c r="H105" s="676"/>
      <c r="J105" s="668" t="str">
        <f t="shared" ref="J105:J109" si="16">E105</f>
        <v>Revenue Sharing</v>
      </c>
      <c r="S105" s="670"/>
    </row>
    <row r="106" spans="1:19">
      <c r="A106" s="679">
        <v>3810000</v>
      </c>
      <c r="B106" s="672"/>
      <c r="C106" s="672"/>
      <c r="D106" s="672"/>
      <c r="E106" s="676" t="s">
        <v>761</v>
      </c>
      <c r="F106" s="680" t="s">
        <v>906</v>
      </c>
      <c r="G106" s="681"/>
      <c r="H106" s="682">
        <v>3810</v>
      </c>
      <c r="J106" s="668" t="str">
        <f t="shared" si="16"/>
        <v>(1) Constitutional Tax</v>
      </c>
      <c r="L106" s="668">
        <v>25</v>
      </c>
      <c r="M106" s="669">
        <v>25</v>
      </c>
      <c r="N106" s="668"/>
      <c r="O106" s="668">
        <v>2</v>
      </c>
      <c r="P106" s="668" t="str">
        <f>IFERROR(VLOOKUP(F106, [2]MOE!B:C, 2, FALSE), "No")</f>
        <v>No</v>
      </c>
      <c r="S106" s="670"/>
    </row>
    <row r="107" spans="1:19">
      <c r="A107" s="679">
        <v>3815000</v>
      </c>
      <c r="B107" s="672"/>
      <c r="C107" s="672"/>
      <c r="D107" s="672"/>
      <c r="E107" s="676" t="s">
        <v>907</v>
      </c>
      <c r="F107" s="680" t="s">
        <v>908</v>
      </c>
      <c r="G107" s="681"/>
      <c r="H107" s="682">
        <v>3815</v>
      </c>
      <c r="J107" s="668" t="str">
        <f t="shared" si="16"/>
        <v>(2) Other Taxes</v>
      </c>
      <c r="L107" s="668">
        <v>25</v>
      </c>
      <c r="M107" s="669">
        <v>25</v>
      </c>
      <c r="N107" s="668"/>
      <c r="O107" s="668">
        <v>2</v>
      </c>
      <c r="P107" s="668" t="str">
        <f>IFERROR(VLOOKUP(F107, [2]MOE!B:C, 2, FALSE), "No")</f>
        <v>No</v>
      </c>
      <c r="S107" s="670"/>
    </row>
    <row r="108" spans="1:19">
      <c r="A108" s="679">
        <v>3820000</v>
      </c>
      <c r="B108" s="672"/>
      <c r="C108" s="672"/>
      <c r="D108" s="672"/>
      <c r="E108" s="676" t="s">
        <v>909</v>
      </c>
      <c r="F108" s="680" t="s">
        <v>910</v>
      </c>
      <c r="G108" s="681"/>
      <c r="H108" s="682">
        <v>3820</v>
      </c>
      <c r="J108" s="668" t="str">
        <f t="shared" si="16"/>
        <v>(3) Excess Portion</v>
      </c>
      <c r="L108" s="668">
        <v>25</v>
      </c>
      <c r="M108" s="669">
        <v>25</v>
      </c>
      <c r="N108" s="668"/>
      <c r="O108" s="668">
        <v>2</v>
      </c>
      <c r="P108" s="668" t="str">
        <f>IFERROR(VLOOKUP(F108, [2]MOE!B:C, 2, FALSE), "No")</f>
        <v>No</v>
      </c>
      <c r="S108" s="670"/>
    </row>
    <row r="109" spans="1:19">
      <c r="A109" s="679">
        <v>3890000</v>
      </c>
      <c r="B109" s="672"/>
      <c r="C109" s="672"/>
      <c r="D109" s="672" t="s">
        <v>777</v>
      </c>
      <c r="E109" s="676" t="s">
        <v>911</v>
      </c>
      <c r="F109" s="680" t="s">
        <v>912</v>
      </c>
      <c r="G109" s="681"/>
      <c r="H109" s="682">
        <v>3890</v>
      </c>
      <c r="J109" s="668" t="str">
        <f t="shared" si="16"/>
        <v>Other Revenue in Lieu of Taxes</v>
      </c>
      <c r="L109" s="668">
        <v>25</v>
      </c>
      <c r="M109" s="669">
        <v>25</v>
      </c>
      <c r="N109" s="668"/>
      <c r="O109" s="668">
        <v>2</v>
      </c>
      <c r="P109" s="668" t="str">
        <f>IFERROR(VLOOKUP(F109, [2]MOE!B:C, 2, FALSE), "No")</f>
        <v>No</v>
      </c>
      <c r="S109" s="670"/>
    </row>
    <row r="110" spans="1:19">
      <c r="A110" s="679">
        <v>0</v>
      </c>
      <c r="B110" s="672"/>
      <c r="C110" s="678">
        <v>13</v>
      </c>
      <c r="D110" s="927" t="s">
        <v>913</v>
      </c>
      <c r="E110" s="926"/>
      <c r="F110" s="675"/>
      <c r="G110" s="672"/>
      <c r="H110" s="676"/>
      <c r="J110" s="668" t="str">
        <f>D110</f>
        <v>State Revenue For/On Behalf of LEA</v>
      </c>
      <c r="S110" s="670"/>
    </row>
    <row r="111" spans="1:19">
      <c r="A111" s="679">
        <v>0</v>
      </c>
      <c r="B111" s="672"/>
      <c r="C111" s="672"/>
      <c r="D111" s="672" t="s">
        <v>759</v>
      </c>
      <c r="E111" s="676" t="s">
        <v>914</v>
      </c>
      <c r="F111" s="675"/>
      <c r="G111" s="672"/>
      <c r="H111" s="676"/>
      <c r="J111" s="668" t="str">
        <f t="shared" ref="J111:J113" si="17">E111</f>
        <v>Employer's Contribution to Teachers</v>
      </c>
      <c r="S111" s="670"/>
    </row>
    <row r="112" spans="1:19">
      <c r="A112" s="679">
        <v>3910000</v>
      </c>
      <c r="B112" s="672"/>
      <c r="C112" s="672"/>
      <c r="D112" s="672"/>
      <c r="E112" s="676" t="s">
        <v>915</v>
      </c>
      <c r="F112" s="680" t="s">
        <v>916</v>
      </c>
      <c r="G112" s="681"/>
      <c r="H112" s="682">
        <v>3910</v>
      </c>
      <c r="J112" s="668" t="str">
        <f t="shared" si="17"/>
        <v>Retirement (PIP)</v>
      </c>
      <c r="L112" s="668">
        <v>25</v>
      </c>
      <c r="M112" s="669">
        <v>25</v>
      </c>
      <c r="N112" s="668"/>
      <c r="O112" s="668">
        <v>2</v>
      </c>
      <c r="P112" s="668" t="str">
        <f>IFERROR(VLOOKUP(F112, [2]MOE!B:C, 2, FALSE), "No")</f>
        <v>No</v>
      </c>
      <c r="S112" s="670"/>
    </row>
    <row r="113" spans="1:19" ht="16" thickBot="1">
      <c r="A113" s="679">
        <v>3990000</v>
      </c>
      <c r="B113" s="672"/>
      <c r="C113" s="672"/>
      <c r="D113" s="672" t="s">
        <v>777</v>
      </c>
      <c r="E113" s="676" t="s">
        <v>917</v>
      </c>
      <c r="F113" s="680" t="s">
        <v>918</v>
      </c>
      <c r="G113" s="681"/>
      <c r="H113" s="682">
        <v>3990</v>
      </c>
      <c r="J113" s="668" t="str">
        <f t="shared" si="17"/>
        <v>Other Revenue For/On Behalf of LEA</v>
      </c>
      <c r="L113" s="668">
        <v>25</v>
      </c>
      <c r="M113" s="669">
        <v>25</v>
      </c>
      <c r="N113" s="668"/>
      <c r="O113" s="668">
        <v>2</v>
      </c>
      <c r="P113" s="668" t="str">
        <f>IFERROR(VLOOKUP(F113, [2]MOE!B:C, 2, FALSE), "No")</f>
        <v>No</v>
      </c>
      <c r="S113" s="670"/>
    </row>
    <row r="114" spans="1:19" ht="16.5" thickTop="1" thickBot="1">
      <c r="A114" s="671"/>
      <c r="B114" s="931" t="s">
        <v>919</v>
      </c>
      <c r="C114" s="930"/>
      <c r="D114" s="930"/>
      <c r="E114" s="932"/>
      <c r="F114" s="705" t="s">
        <v>664</v>
      </c>
      <c r="G114" s="706"/>
      <c r="H114" s="707"/>
      <c r="S114" s="670"/>
    </row>
    <row r="115" spans="1:19" ht="16" thickTop="1">
      <c r="A115" s="671"/>
      <c r="B115" s="673"/>
      <c r="C115" s="672"/>
      <c r="D115" s="672"/>
      <c r="E115" s="676"/>
      <c r="F115" s="675"/>
      <c r="G115" s="672"/>
      <c r="H115" s="676"/>
      <c r="S115" s="670"/>
    </row>
    <row r="116" spans="1:19">
      <c r="A116" s="671"/>
      <c r="B116" s="677" t="s">
        <v>920</v>
      </c>
      <c r="C116" s="921" t="s">
        <v>52</v>
      </c>
      <c r="D116" s="795"/>
      <c r="E116" s="926"/>
      <c r="F116" s="675"/>
      <c r="G116" s="672"/>
      <c r="H116" s="676"/>
      <c r="S116" s="670"/>
    </row>
    <row r="117" spans="1:19">
      <c r="A117" s="671"/>
      <c r="B117" s="672"/>
      <c r="C117" s="678">
        <v>14</v>
      </c>
      <c r="D117" s="927" t="s">
        <v>921</v>
      </c>
      <c r="E117" s="926"/>
      <c r="F117" s="675"/>
      <c r="G117" s="672"/>
      <c r="H117" s="676"/>
      <c r="S117" s="670"/>
    </row>
    <row r="118" spans="1:19">
      <c r="A118" s="679">
        <v>0</v>
      </c>
      <c r="B118" s="672"/>
      <c r="C118" s="672"/>
      <c r="D118" s="927" t="s">
        <v>922</v>
      </c>
      <c r="E118" s="926"/>
      <c r="F118" s="675"/>
      <c r="G118" s="672"/>
      <c r="H118" s="676"/>
      <c r="J118" s="668" t="str">
        <f>D118</f>
        <v>From the Federal Government</v>
      </c>
      <c r="S118" s="670"/>
    </row>
    <row r="119" spans="1:19">
      <c r="A119" s="679">
        <v>4110000</v>
      </c>
      <c r="B119" s="672"/>
      <c r="C119" s="672"/>
      <c r="D119" s="672" t="s">
        <v>759</v>
      </c>
      <c r="E119" s="676" t="s">
        <v>923</v>
      </c>
      <c r="F119" s="680" t="s">
        <v>924</v>
      </c>
      <c r="G119" s="681"/>
      <c r="H119" s="682">
        <v>4110</v>
      </c>
      <c r="J119" s="668" t="str">
        <f>E119</f>
        <v>Impact Aid Fund</v>
      </c>
      <c r="L119" s="668">
        <v>66</v>
      </c>
      <c r="M119" s="669">
        <v>34</v>
      </c>
      <c r="N119" s="668"/>
      <c r="O119" s="668">
        <v>5</v>
      </c>
      <c r="P119" s="668" t="str">
        <f>IFERROR(VLOOKUP(F119, [2]MOE!B:C, 2, FALSE), "No")</f>
        <v>No</v>
      </c>
      <c r="S119" s="670"/>
    </row>
    <row r="120" spans="1:19">
      <c r="A120" s="671"/>
      <c r="B120" s="672"/>
      <c r="C120" s="672"/>
      <c r="D120" s="672" t="s">
        <v>777</v>
      </c>
      <c r="E120" s="676" t="s">
        <v>120</v>
      </c>
      <c r="F120" s="680" t="s">
        <v>925</v>
      </c>
      <c r="G120" s="681"/>
      <c r="H120" s="682">
        <v>4190</v>
      </c>
      <c r="L120" s="668">
        <v>34</v>
      </c>
      <c r="M120" s="669">
        <v>35</v>
      </c>
      <c r="N120" s="668"/>
      <c r="O120" s="668">
        <v>5</v>
      </c>
      <c r="P120" s="668" t="str">
        <f>IFERROR(VLOOKUP(F120, [2]MOE!B:C, 2, FALSE), "No")</f>
        <v>No</v>
      </c>
      <c r="S120" s="670"/>
    </row>
    <row r="121" spans="1:19">
      <c r="A121" s="671"/>
      <c r="B121" s="672"/>
      <c r="C121" s="678">
        <v>15</v>
      </c>
      <c r="D121" s="927" t="s">
        <v>926</v>
      </c>
      <c r="E121" s="926"/>
      <c r="F121" s="675"/>
      <c r="G121" s="672"/>
      <c r="H121" s="676"/>
      <c r="S121" s="670"/>
    </row>
    <row r="122" spans="1:19">
      <c r="A122" s="679">
        <v>4200000</v>
      </c>
      <c r="B122" s="672"/>
      <c r="C122" s="672"/>
      <c r="D122" s="927" t="s">
        <v>927</v>
      </c>
      <c r="E122" s="926"/>
      <c r="F122" s="680" t="s">
        <v>928</v>
      </c>
      <c r="G122" s="681"/>
      <c r="H122" s="682">
        <v>4200</v>
      </c>
      <c r="J122" s="668" t="str">
        <f>D122</f>
        <v>Federal Government Through the State</v>
      </c>
      <c r="L122" s="668">
        <v>66</v>
      </c>
      <c r="M122" s="669">
        <v>57</v>
      </c>
      <c r="N122" s="668"/>
      <c r="O122" s="668">
        <v>5</v>
      </c>
      <c r="P122" s="668" t="str">
        <f>IFERROR(VLOOKUP(F122, [2]MOE!B:C, 2, FALSE), "No")</f>
        <v>No</v>
      </c>
      <c r="S122" s="670"/>
    </row>
    <row r="123" spans="1:19">
      <c r="A123" s="671"/>
      <c r="B123" s="672"/>
      <c r="C123" s="678">
        <v>16</v>
      </c>
      <c r="D123" s="927" t="s">
        <v>929</v>
      </c>
      <c r="E123" s="926"/>
      <c r="F123" s="675"/>
      <c r="G123" s="672"/>
      <c r="H123" s="676"/>
      <c r="S123" s="670"/>
    </row>
    <row r="124" spans="1:19">
      <c r="A124" s="671"/>
      <c r="B124" s="672"/>
      <c r="C124" s="672"/>
      <c r="D124" s="927" t="s">
        <v>922</v>
      </c>
      <c r="E124" s="926"/>
      <c r="F124" s="675"/>
      <c r="G124" s="672"/>
      <c r="H124" s="676"/>
      <c r="S124" s="670"/>
    </row>
    <row r="125" spans="1:19">
      <c r="A125" s="679">
        <v>4310000</v>
      </c>
      <c r="B125" s="672"/>
      <c r="C125" s="672"/>
      <c r="D125" s="672" t="s">
        <v>759</v>
      </c>
      <c r="E125" s="676" t="s">
        <v>930</v>
      </c>
      <c r="F125" s="680" t="s">
        <v>931</v>
      </c>
      <c r="G125" s="681"/>
      <c r="H125" s="682">
        <v>4310</v>
      </c>
      <c r="J125" s="668" t="str">
        <f t="shared" ref="J125:J128" si="18">E125</f>
        <v>Federally Affected Areas</v>
      </c>
      <c r="L125" s="668">
        <v>66</v>
      </c>
      <c r="M125" s="669">
        <v>57</v>
      </c>
      <c r="N125" s="668"/>
      <c r="O125" s="668">
        <v>5</v>
      </c>
      <c r="P125" s="668" t="str">
        <f>IFERROR(VLOOKUP(F125, [2]MOE!B:C, 2, FALSE), "No")</f>
        <v>No</v>
      </c>
      <c r="S125" s="670"/>
    </row>
    <row r="126" spans="1:19">
      <c r="A126" s="679">
        <v>4330000</v>
      </c>
      <c r="B126" s="672"/>
      <c r="C126" s="672"/>
      <c r="D126" s="672" t="s">
        <v>777</v>
      </c>
      <c r="E126" s="676" t="s">
        <v>932</v>
      </c>
      <c r="F126" s="680" t="s">
        <v>933</v>
      </c>
      <c r="G126" s="681"/>
      <c r="H126" s="682">
        <v>4330</v>
      </c>
      <c r="J126" s="668" t="str">
        <f t="shared" si="18"/>
        <v>JROTC</v>
      </c>
      <c r="L126" s="668">
        <v>66</v>
      </c>
      <c r="M126" s="669">
        <v>37</v>
      </c>
      <c r="N126" s="668"/>
      <c r="O126" s="668">
        <v>5</v>
      </c>
      <c r="P126" s="668" t="str">
        <f>IFERROR(VLOOKUP(F126, [2]MOE!B:C, 2, FALSE), "No")</f>
        <v>No</v>
      </c>
      <c r="S126" s="670"/>
    </row>
    <row r="127" spans="1:19">
      <c r="A127" s="679">
        <v>4340000</v>
      </c>
      <c r="B127" s="672"/>
      <c r="C127" s="672"/>
      <c r="D127" s="672" t="s">
        <v>801</v>
      </c>
      <c r="E127" s="676" t="s">
        <v>934</v>
      </c>
      <c r="F127" s="680" t="s">
        <v>935</v>
      </c>
      <c r="G127" s="681"/>
      <c r="H127" s="682">
        <v>4340</v>
      </c>
      <c r="J127" s="668" t="str">
        <f t="shared" si="18"/>
        <v>Headstart Program</v>
      </c>
      <c r="L127" s="668">
        <v>66</v>
      </c>
      <c r="M127" s="669">
        <v>57</v>
      </c>
      <c r="N127" s="668"/>
      <c r="O127" s="668">
        <v>5</v>
      </c>
      <c r="P127" s="668" t="str">
        <f>IFERROR(VLOOKUP(F127, [2]MOE!B:C, 2, FALSE), "No")</f>
        <v>No</v>
      </c>
      <c r="S127" s="670"/>
    </row>
    <row r="128" spans="1:19">
      <c r="A128" s="679">
        <v>4390000</v>
      </c>
      <c r="B128" s="672"/>
      <c r="C128" s="672"/>
      <c r="D128" s="672" t="s">
        <v>805</v>
      </c>
      <c r="E128" s="676" t="s">
        <v>55</v>
      </c>
      <c r="F128" s="680" t="s">
        <v>936</v>
      </c>
      <c r="G128" s="681"/>
      <c r="H128" s="682">
        <v>4390</v>
      </c>
      <c r="J128" s="668" t="str">
        <f t="shared" si="18"/>
        <v>Other Restricted Grants - Direct</v>
      </c>
      <c r="L128" s="668">
        <v>37</v>
      </c>
      <c r="M128" s="669">
        <v>38</v>
      </c>
      <c r="N128" s="668"/>
      <c r="O128" s="668">
        <v>5</v>
      </c>
      <c r="P128" s="668" t="str">
        <f>IFERROR(VLOOKUP(F128, [2]MOE!B:C, 2, FALSE), "No")</f>
        <v>No</v>
      </c>
      <c r="S128" s="670"/>
    </row>
    <row r="129" spans="1:19">
      <c r="A129" s="671"/>
      <c r="B129" s="672"/>
      <c r="C129" s="678">
        <v>17</v>
      </c>
      <c r="D129" s="927" t="s">
        <v>937</v>
      </c>
      <c r="E129" s="926"/>
      <c r="F129" s="675"/>
      <c r="G129" s="672"/>
      <c r="H129" s="676"/>
      <c r="S129" s="670"/>
    </row>
    <row r="130" spans="1:19">
      <c r="A130" s="671"/>
      <c r="B130" s="672"/>
      <c r="C130" s="672"/>
      <c r="D130" s="927" t="s">
        <v>927</v>
      </c>
      <c r="E130" s="926"/>
      <c r="F130" s="675"/>
      <c r="G130" s="672"/>
      <c r="H130" s="676"/>
      <c r="S130" s="670"/>
    </row>
    <row r="131" spans="1:19">
      <c r="A131" s="679">
        <v>4510000</v>
      </c>
      <c r="B131" s="672"/>
      <c r="C131" s="672"/>
      <c r="D131" s="672" t="s">
        <v>759</v>
      </c>
      <c r="E131" s="676" t="s">
        <v>938</v>
      </c>
      <c r="F131" s="680" t="s">
        <v>939</v>
      </c>
      <c r="G131" s="681"/>
      <c r="H131" s="682">
        <v>4510</v>
      </c>
      <c r="J131" s="668" t="str">
        <f t="shared" ref="J131:J133" si="19">E131</f>
        <v>Carl Perkins - Secondary</v>
      </c>
      <c r="L131" s="668">
        <v>40</v>
      </c>
      <c r="M131" s="669">
        <v>40</v>
      </c>
      <c r="N131" s="668"/>
      <c r="O131" s="668">
        <v>5</v>
      </c>
      <c r="P131" s="668" t="str">
        <f>IFERROR(VLOOKUP(F131, [2]MOE!B:C, 2, FALSE), "No")</f>
        <v>No</v>
      </c>
      <c r="S131" s="670"/>
    </row>
    <row r="132" spans="1:19">
      <c r="A132" s="679">
        <v>4515000</v>
      </c>
      <c r="B132" s="672"/>
      <c r="C132" s="672"/>
      <c r="D132" s="672" t="s">
        <v>777</v>
      </c>
      <c r="E132" s="676" t="s">
        <v>3</v>
      </c>
      <c r="F132" s="680" t="s">
        <v>940</v>
      </c>
      <c r="G132" s="681"/>
      <c r="H132" s="682">
        <v>4515</v>
      </c>
      <c r="J132" s="668" t="str">
        <f t="shared" si="19"/>
        <v>School Food Service</v>
      </c>
      <c r="L132" s="668">
        <v>41</v>
      </c>
      <c r="M132" s="669">
        <v>41</v>
      </c>
      <c r="N132" s="668"/>
      <c r="O132" s="668">
        <v>5</v>
      </c>
      <c r="P132" s="668" t="str">
        <f>IFERROR(VLOOKUP(F132, [2]MOE!B:C, 2, FALSE), "No")</f>
        <v>No</v>
      </c>
      <c r="S132" s="670"/>
    </row>
    <row r="133" spans="1:19">
      <c r="A133" s="679">
        <v>4520000</v>
      </c>
      <c r="B133" s="672"/>
      <c r="C133" s="672"/>
      <c r="D133" s="672" t="s">
        <v>801</v>
      </c>
      <c r="E133" s="676" t="s">
        <v>941</v>
      </c>
      <c r="F133" s="680" t="s">
        <v>942</v>
      </c>
      <c r="G133" s="681"/>
      <c r="H133" s="682">
        <v>4520</v>
      </c>
      <c r="J133" s="668" t="str">
        <f t="shared" si="19"/>
        <v>Adult Basic Education</v>
      </c>
      <c r="L133" s="668">
        <v>66</v>
      </c>
      <c r="M133" s="669">
        <v>57</v>
      </c>
      <c r="N133" s="668"/>
      <c r="O133" s="668">
        <v>5</v>
      </c>
      <c r="P133" s="668" t="str">
        <f>IFERROR(VLOOKUP(F133, [2]MOE!B:C, 2, FALSE), "No")</f>
        <v>No</v>
      </c>
      <c r="S133" s="670"/>
    </row>
    <row r="134" spans="1:19">
      <c r="A134" s="671"/>
      <c r="B134" s="672"/>
      <c r="C134" s="672"/>
      <c r="D134" s="672" t="s">
        <v>805</v>
      </c>
      <c r="E134" s="676" t="s">
        <v>4</v>
      </c>
      <c r="F134" s="675"/>
      <c r="G134" s="672"/>
      <c r="H134" s="676"/>
      <c r="S134" s="670"/>
    </row>
    <row r="135" spans="1:19">
      <c r="A135" s="679">
        <v>4531000</v>
      </c>
      <c r="B135" s="672"/>
      <c r="C135" s="672"/>
      <c r="D135" s="672"/>
      <c r="E135" s="676" t="s">
        <v>943</v>
      </c>
      <c r="F135" s="680" t="s">
        <v>944</v>
      </c>
      <c r="G135" s="681"/>
      <c r="H135" s="682">
        <v>4531</v>
      </c>
      <c r="J135" s="668" t="str">
        <f t="shared" ref="J135:J138" si="20">E135</f>
        <v>(1) IDEA - Part B 611</v>
      </c>
      <c r="L135" s="668">
        <v>43</v>
      </c>
      <c r="M135" s="669">
        <v>43</v>
      </c>
      <c r="N135" s="668"/>
      <c r="O135" s="668">
        <v>5</v>
      </c>
      <c r="P135" s="668" t="str">
        <f>IFERROR(VLOOKUP(F135, [2]MOE!B:C, 2, FALSE), "No")</f>
        <v>No</v>
      </c>
      <c r="S135" s="670"/>
    </row>
    <row r="136" spans="1:19">
      <c r="A136" s="679">
        <v>4532000</v>
      </c>
      <c r="B136" s="672"/>
      <c r="C136" s="672"/>
      <c r="D136" s="672"/>
      <c r="E136" s="676" t="s">
        <v>945</v>
      </c>
      <c r="F136" s="680" t="s">
        <v>946</v>
      </c>
      <c r="G136" s="681"/>
      <c r="H136" s="682">
        <v>4532</v>
      </c>
      <c r="J136" s="668" t="str">
        <f t="shared" si="20"/>
        <v>(2) IDEA - Preschool 619</v>
      </c>
      <c r="L136" s="668">
        <v>44</v>
      </c>
      <c r="M136" s="669">
        <v>44</v>
      </c>
      <c r="N136" s="668"/>
      <c r="O136" s="668">
        <v>5</v>
      </c>
      <c r="P136" s="668" t="str">
        <f>IFERROR(VLOOKUP(F136, [2]MOE!B:C, 2, FALSE), "No")</f>
        <v>No</v>
      </c>
      <c r="S136" s="670"/>
    </row>
    <row r="137" spans="1:19">
      <c r="A137" s="679">
        <v>4534000</v>
      </c>
      <c r="B137" s="672"/>
      <c r="C137" s="672"/>
      <c r="D137" s="672"/>
      <c r="E137" s="676" t="s">
        <v>947</v>
      </c>
      <c r="F137" s="680" t="s">
        <v>948</v>
      </c>
      <c r="G137" s="681"/>
      <c r="H137" s="682">
        <v>4534</v>
      </c>
      <c r="J137" s="668" t="str">
        <f t="shared" si="20"/>
        <v>(3) Part C - Infant/Toddler</v>
      </c>
      <c r="L137" s="668">
        <v>66</v>
      </c>
      <c r="M137" s="669">
        <v>57</v>
      </c>
      <c r="N137" s="668"/>
      <c r="O137" s="668">
        <v>5</v>
      </c>
      <c r="P137" s="668" t="str">
        <f>IFERROR(VLOOKUP(F137, [2]MOE!B:C, 2, FALSE), "No")</f>
        <v>No</v>
      </c>
      <c r="S137" s="670"/>
    </row>
    <row r="138" spans="1:19">
      <c r="A138" s="679">
        <v>4535000</v>
      </c>
      <c r="B138" s="672"/>
      <c r="C138" s="672"/>
      <c r="D138" s="672"/>
      <c r="E138" s="676" t="s">
        <v>949</v>
      </c>
      <c r="F138" s="680" t="s">
        <v>950</v>
      </c>
      <c r="G138" s="681"/>
      <c r="H138" s="682">
        <v>4535</v>
      </c>
      <c r="J138" s="668" t="str">
        <f t="shared" si="20"/>
        <v>(4) Other Special Education Programs</v>
      </c>
      <c r="L138" s="668">
        <v>45</v>
      </c>
      <c r="M138" s="669">
        <v>45</v>
      </c>
      <c r="N138" s="668"/>
      <c r="O138" s="668">
        <v>5</v>
      </c>
      <c r="P138" s="668" t="str">
        <f>IFERROR(VLOOKUP(F138, [2]MOE!B:C, 2, FALSE), "No")</f>
        <v>No</v>
      </c>
      <c r="S138" s="670"/>
    </row>
    <row r="139" spans="1:19">
      <c r="A139" s="671"/>
      <c r="B139" s="672"/>
      <c r="C139" s="672"/>
      <c r="D139" s="672" t="s">
        <v>850</v>
      </c>
      <c r="E139" s="676" t="s">
        <v>951</v>
      </c>
      <c r="F139" s="675"/>
      <c r="G139" s="672"/>
      <c r="H139" s="676"/>
      <c r="S139" s="670"/>
    </row>
    <row r="140" spans="1:19">
      <c r="A140" s="679">
        <v>4541000</v>
      </c>
      <c r="B140" s="672"/>
      <c r="C140" s="672"/>
      <c r="D140" s="672"/>
      <c r="E140" s="676" t="s">
        <v>952</v>
      </c>
      <c r="F140" s="680" t="s">
        <v>953</v>
      </c>
      <c r="G140" s="681"/>
      <c r="H140" s="682">
        <v>4541</v>
      </c>
      <c r="J140" s="668" t="str">
        <f t="shared" ref="J140:J155" si="21">E140</f>
        <v>(1) ESSA/NCLB - Title I, Part A, Improving Basic Programs</v>
      </c>
      <c r="L140" s="668">
        <v>48</v>
      </c>
      <c r="M140" s="669">
        <v>47</v>
      </c>
      <c r="N140" s="668"/>
      <c r="O140" s="668">
        <v>5</v>
      </c>
      <c r="P140" s="668" t="str">
        <f>IFERROR(VLOOKUP(F140, [2]MOE!B:C, 2, FALSE), "No")</f>
        <v>No</v>
      </c>
      <c r="S140" s="670"/>
    </row>
    <row r="141" spans="1:19">
      <c r="A141" s="679">
        <v>4542000</v>
      </c>
      <c r="B141" s="672"/>
      <c r="C141" s="672"/>
      <c r="D141" s="672"/>
      <c r="E141" s="676" t="s">
        <v>954</v>
      </c>
      <c r="F141" s="680" t="s">
        <v>955</v>
      </c>
      <c r="G141" s="681"/>
      <c r="H141" s="682">
        <v>4542</v>
      </c>
      <c r="J141" s="668" t="str">
        <f t="shared" si="21"/>
        <v>(2) ESSA/NCLB - Title I - Part C - Migrant</v>
      </c>
      <c r="L141" s="668">
        <v>50</v>
      </c>
      <c r="M141" s="669">
        <v>48</v>
      </c>
      <c r="N141" s="668"/>
      <c r="O141" s="668">
        <v>5</v>
      </c>
      <c r="P141" s="668" t="str">
        <f>IFERROR(VLOOKUP(F141, [2]MOE!B:C, 2, FALSE), "No")</f>
        <v>No</v>
      </c>
      <c r="S141" s="670"/>
    </row>
    <row r="142" spans="1:19">
      <c r="A142" s="679">
        <v>4544000</v>
      </c>
      <c r="B142" s="672"/>
      <c r="C142" s="672"/>
      <c r="D142" s="672"/>
      <c r="E142" s="676" t="s">
        <v>956</v>
      </c>
      <c r="F142" s="680" t="s">
        <v>957</v>
      </c>
      <c r="G142" s="681"/>
      <c r="H142" s="682">
        <v>4544</v>
      </c>
      <c r="J142" s="668" t="str">
        <f t="shared" si="21"/>
        <v>(3) ESSA/NCLB - Title IV - A - Student Support and Aca. Enr.</v>
      </c>
      <c r="L142" s="668">
        <v>51</v>
      </c>
      <c r="M142" s="669">
        <v>51</v>
      </c>
      <c r="N142" s="668"/>
      <c r="O142" s="668">
        <v>5</v>
      </c>
      <c r="P142" s="668" t="str">
        <f>IFERROR(VLOOKUP(F142, [2]MOE!B:C, 2, FALSE), "No")</f>
        <v>No</v>
      </c>
      <c r="S142" s="670"/>
    </row>
    <row r="143" spans="1:19">
      <c r="A143" s="679">
        <v>4545000</v>
      </c>
      <c r="B143" s="672"/>
      <c r="C143" s="672"/>
      <c r="D143" s="672"/>
      <c r="E143" s="676" t="s">
        <v>958</v>
      </c>
      <c r="F143" s="680" t="s">
        <v>959</v>
      </c>
      <c r="G143" s="681"/>
      <c r="H143" s="682">
        <v>4545</v>
      </c>
      <c r="J143" s="668" t="str">
        <f t="shared" si="21"/>
        <v>(4) ESSA/NCLB - Title II - A - Supporting Effective Instruction</v>
      </c>
      <c r="L143" s="668">
        <v>52</v>
      </c>
      <c r="M143" s="669">
        <v>49</v>
      </c>
      <c r="N143" s="668"/>
      <c r="O143" s="668">
        <v>5</v>
      </c>
      <c r="P143" s="668" t="str">
        <f>IFERROR(VLOOKUP(F143, [2]MOE!B:C, 2, FALSE), "No")</f>
        <v>No</v>
      </c>
      <c r="S143" s="670"/>
    </row>
    <row r="144" spans="1:19">
      <c r="A144" s="679">
        <v>4547000</v>
      </c>
      <c r="B144" s="672"/>
      <c r="C144" s="672"/>
      <c r="D144" s="672"/>
      <c r="E144" s="676" t="s">
        <v>960</v>
      </c>
      <c r="F144" s="680" t="s">
        <v>961</v>
      </c>
      <c r="G144" s="681"/>
      <c r="H144" s="682">
        <v>4547</v>
      </c>
      <c r="J144" s="668" t="str">
        <f t="shared" si="21"/>
        <v>(5) ESSA/NCLB - Title III - A - English Language Acq.</v>
      </c>
      <c r="L144" s="668">
        <v>53</v>
      </c>
      <c r="M144" s="669">
        <v>50</v>
      </c>
      <c r="N144" s="668"/>
      <c r="O144" s="668">
        <v>5</v>
      </c>
      <c r="P144" s="668" t="str">
        <f>IFERROR(VLOOKUP(F144, [2]MOE!B:C, 2, FALSE), "No")</f>
        <v>No</v>
      </c>
      <c r="S144" s="670"/>
    </row>
    <row r="145" spans="1:19">
      <c r="A145" s="679">
        <v>4548000</v>
      </c>
      <c r="B145" s="672"/>
      <c r="C145" s="672"/>
      <c r="D145" s="672"/>
      <c r="E145" s="676" t="s">
        <v>962</v>
      </c>
      <c r="F145" s="680" t="s">
        <v>963</v>
      </c>
      <c r="G145" s="681"/>
      <c r="H145" s="682">
        <v>4548</v>
      </c>
      <c r="J145" s="668" t="str">
        <f t="shared" si="21"/>
        <v>(6) ESSA/NCLB - Title IV - B - 21st CCLC</v>
      </c>
      <c r="L145" s="668">
        <v>51</v>
      </c>
      <c r="M145" s="669">
        <v>51</v>
      </c>
      <c r="N145" s="668"/>
      <c r="O145" s="668">
        <v>5</v>
      </c>
      <c r="P145" s="668" t="str">
        <f>IFERROR(VLOOKUP(F145, [2]MOE!B:C, 2, FALSE), "No")</f>
        <v>No</v>
      </c>
      <c r="S145" s="670"/>
    </row>
    <row r="146" spans="1:19">
      <c r="A146" s="679">
        <v>4549000</v>
      </c>
      <c r="B146" s="672"/>
      <c r="C146" s="672"/>
      <c r="D146" s="672"/>
      <c r="E146" s="676" t="s">
        <v>964</v>
      </c>
      <c r="F146" s="680" t="s">
        <v>965</v>
      </c>
      <c r="G146" s="681"/>
      <c r="H146" s="682">
        <v>4549</v>
      </c>
      <c r="J146" s="668" t="str">
        <f t="shared" si="21"/>
        <v>(7) ESSA - Title V, Part B, Rural and Low-Inc</v>
      </c>
      <c r="L146" s="668">
        <v>55</v>
      </c>
      <c r="M146" s="669">
        <v>57</v>
      </c>
      <c r="N146" s="668"/>
      <c r="O146" s="668">
        <v>5</v>
      </c>
      <c r="P146" s="668" t="str">
        <f>IFERROR(VLOOKUP(F146, [2]MOE!B:C, 2, FALSE), "No")</f>
        <v>No</v>
      </c>
      <c r="S146" s="670"/>
    </row>
    <row r="147" spans="1:19">
      <c r="A147" s="679">
        <v>4550000</v>
      </c>
      <c r="B147" s="672"/>
      <c r="C147" s="672"/>
      <c r="D147" s="672"/>
      <c r="E147" s="676" t="s">
        <v>966</v>
      </c>
      <c r="F147" s="680" t="s">
        <v>967</v>
      </c>
      <c r="G147" s="681"/>
      <c r="H147" s="682">
        <v>4550</v>
      </c>
      <c r="J147" s="668" t="str">
        <f t="shared" si="21"/>
        <v>(8) ESSA/NCLB - Title I - Part A - School Improvement</v>
      </c>
      <c r="L147" s="668">
        <v>49</v>
      </c>
      <c r="M147" s="669">
        <v>47</v>
      </c>
      <c r="N147" s="668"/>
      <c r="O147" s="668">
        <v>5</v>
      </c>
      <c r="P147" s="668" t="str">
        <f>IFERROR(VLOOKUP(F147, [2]MOE!B:C, 2, FALSE), "No")</f>
        <v>No</v>
      </c>
      <c r="S147" s="670"/>
    </row>
    <row r="148" spans="1:19">
      <c r="A148" s="679">
        <v>4551000</v>
      </c>
      <c r="B148" s="672"/>
      <c r="C148" s="672"/>
      <c r="D148" s="672"/>
      <c r="E148" s="676" t="s">
        <v>968</v>
      </c>
      <c r="F148" s="680" t="s">
        <v>969</v>
      </c>
      <c r="G148" s="681"/>
      <c r="H148" s="682">
        <v>4551</v>
      </c>
      <c r="J148" s="668" t="str">
        <f t="shared" si="21"/>
        <v>(9) NCLB - Title II - Part D - Technology</v>
      </c>
      <c r="L148" s="668">
        <v>52</v>
      </c>
      <c r="M148" s="669">
        <v>49</v>
      </c>
      <c r="N148" s="668"/>
      <c r="O148" s="668">
        <v>5</v>
      </c>
      <c r="P148" s="668" t="str">
        <f>IFERROR(VLOOKUP(F148, [2]MOE!B:C, 2, FALSE), "No")</f>
        <v>No</v>
      </c>
      <c r="S148" s="670"/>
    </row>
    <row r="149" spans="1:19">
      <c r="A149" s="679">
        <v>4552000</v>
      </c>
      <c r="B149" s="672"/>
      <c r="C149" s="672"/>
      <c r="D149" s="672"/>
      <c r="E149" s="676" t="s">
        <v>970</v>
      </c>
      <c r="F149" s="680" t="s">
        <v>971</v>
      </c>
      <c r="G149" s="681"/>
      <c r="H149" s="682">
        <v>4552</v>
      </c>
      <c r="J149" s="668" t="str">
        <f t="shared" si="21"/>
        <v>(10) ESSA -Title 1 1003A Direct Student Svc.</v>
      </c>
      <c r="L149" s="668">
        <v>48</v>
      </c>
      <c r="M149" s="669">
        <v>47</v>
      </c>
      <c r="N149" s="668"/>
      <c r="O149" s="668">
        <v>5</v>
      </c>
      <c r="P149" s="668" t="str">
        <f>IFERROR(VLOOKUP(F149, [2]MOE!B:C, 2, FALSE), "No")</f>
        <v>No</v>
      </c>
      <c r="S149" s="670"/>
    </row>
    <row r="150" spans="1:19">
      <c r="A150" s="679">
        <v>4553000</v>
      </c>
      <c r="B150" s="672"/>
      <c r="C150" s="687"/>
      <c r="D150" s="687"/>
      <c r="E150" s="688" t="s">
        <v>972</v>
      </c>
      <c r="F150" s="689" t="s">
        <v>973</v>
      </c>
      <c r="G150" s="690"/>
      <c r="H150" s="691">
        <v>4553</v>
      </c>
      <c r="J150" s="668" t="str">
        <f t="shared" si="21"/>
        <v>(11) ESSA - Title IX - Homeless Education</v>
      </c>
      <c r="L150" s="668">
        <v>54</v>
      </c>
      <c r="M150" s="669">
        <v>57</v>
      </c>
      <c r="N150" s="668"/>
      <c r="O150" s="668">
        <v>5</v>
      </c>
      <c r="P150" s="668" t="str">
        <f>IFERROR(VLOOKUP(F150, [2]MOE!B:C, 2, FALSE), "No")</f>
        <v>No</v>
      </c>
      <c r="S150" s="670"/>
    </row>
    <row r="151" spans="1:19">
      <c r="A151" s="679">
        <v>4559000</v>
      </c>
      <c r="B151" s="672"/>
      <c r="C151" s="672"/>
      <c r="D151" s="672"/>
      <c r="E151" s="676" t="s">
        <v>974</v>
      </c>
      <c r="F151" s="680" t="s">
        <v>975</v>
      </c>
      <c r="G151" s="681"/>
      <c r="H151" s="682">
        <v>4559</v>
      </c>
      <c r="J151" s="668" t="str">
        <f t="shared" si="21"/>
        <v>(12) Other ESSA Programs</v>
      </c>
      <c r="L151" s="668">
        <v>55</v>
      </c>
      <c r="M151" s="669">
        <v>57</v>
      </c>
      <c r="N151" s="668"/>
      <c r="O151" s="668">
        <v>5</v>
      </c>
      <c r="P151" s="668" t="str">
        <f>IFERROR(VLOOKUP(F151, [2]MOE!B:C, 2, FALSE), "No")</f>
        <v>No</v>
      </c>
      <c r="S151" s="670"/>
    </row>
    <row r="152" spans="1:19">
      <c r="A152" s="679">
        <v>4560000</v>
      </c>
      <c r="B152" s="672"/>
      <c r="C152" s="672"/>
      <c r="D152" s="672" t="s">
        <v>853</v>
      </c>
      <c r="E152" s="676" t="s">
        <v>976</v>
      </c>
      <c r="F152" s="680" t="s">
        <v>977</v>
      </c>
      <c r="G152" s="681"/>
      <c r="H152" s="682">
        <v>4560</v>
      </c>
      <c r="J152" s="668" t="str">
        <f t="shared" si="21"/>
        <v>Job Training Partnership Act (JTPA)</v>
      </c>
      <c r="L152" s="668">
        <v>66</v>
      </c>
      <c r="M152" s="669">
        <v>57</v>
      </c>
      <c r="N152" s="668"/>
      <c r="O152" s="668">
        <v>5</v>
      </c>
      <c r="P152" s="668" t="str">
        <f>IFERROR(VLOOKUP(F152, [2]MOE!B:C, 2, FALSE), "No")</f>
        <v>No</v>
      </c>
      <c r="S152" s="670"/>
    </row>
    <row r="153" spans="1:19">
      <c r="A153" s="679">
        <v>4570000</v>
      </c>
      <c r="B153" s="672"/>
      <c r="C153" s="672"/>
      <c r="D153" s="672" t="s">
        <v>856</v>
      </c>
      <c r="E153" s="676" t="s">
        <v>978</v>
      </c>
      <c r="F153" s="680" t="s">
        <v>979</v>
      </c>
      <c r="G153" s="681"/>
      <c r="H153" s="682">
        <v>4570</v>
      </c>
      <c r="J153" s="668" t="str">
        <f t="shared" si="21"/>
        <v>Temp. Assistance - Needy Families (TANF)</v>
      </c>
      <c r="L153" s="668">
        <v>66</v>
      </c>
      <c r="M153" s="669">
        <v>57</v>
      </c>
      <c r="N153" s="668"/>
      <c r="O153" s="668">
        <v>5</v>
      </c>
      <c r="P153" s="668" t="str">
        <f>IFERROR(VLOOKUP(F153, [2]MOE!B:C, 2, FALSE), "No")</f>
        <v>No</v>
      </c>
      <c r="S153" s="670"/>
    </row>
    <row r="154" spans="1:19">
      <c r="A154" s="679">
        <v>4580000</v>
      </c>
      <c r="B154" s="672"/>
      <c r="C154" s="672"/>
      <c r="D154" s="672" t="s">
        <v>859</v>
      </c>
      <c r="E154" s="676" t="s">
        <v>980</v>
      </c>
      <c r="F154" s="680" t="s">
        <v>981</v>
      </c>
      <c r="G154" s="681"/>
      <c r="H154" s="682">
        <v>4580</v>
      </c>
      <c r="J154" s="668" t="str">
        <f t="shared" si="21"/>
        <v>FEMA - Disaster Relief</v>
      </c>
      <c r="L154" s="668">
        <v>63</v>
      </c>
      <c r="M154" s="669">
        <v>52</v>
      </c>
      <c r="N154" s="668"/>
      <c r="O154" s="668">
        <v>5</v>
      </c>
      <c r="P154" s="668" t="str">
        <f>IFERROR(VLOOKUP(F154, [2]MOE!B:C, 2, FALSE), "No")</f>
        <v>No</v>
      </c>
      <c r="S154" s="670"/>
    </row>
    <row r="155" spans="1:19">
      <c r="A155" s="679">
        <v>4590000</v>
      </c>
      <c r="B155" s="672"/>
      <c r="C155" s="672"/>
      <c r="D155" s="672" t="s">
        <v>862</v>
      </c>
      <c r="E155" s="676" t="s">
        <v>982</v>
      </c>
      <c r="F155" s="680" t="s">
        <v>983</v>
      </c>
      <c r="G155" s="681"/>
      <c r="H155" s="682">
        <v>4590</v>
      </c>
      <c r="J155" s="668" t="str">
        <f t="shared" si="21"/>
        <v>Other Restricted Grants through State</v>
      </c>
      <c r="L155" s="668">
        <v>66</v>
      </c>
      <c r="M155" s="669">
        <v>57</v>
      </c>
      <c r="N155" s="668"/>
      <c r="O155" s="668">
        <v>5</v>
      </c>
      <c r="P155" s="668" t="str">
        <f>IFERROR(VLOOKUP(F155, [2]MOE!B:C, 2, FALSE), "No")</f>
        <v>No</v>
      </c>
      <c r="S155" s="670"/>
    </row>
    <row r="156" spans="1:19">
      <c r="A156" s="671"/>
      <c r="B156" s="672"/>
      <c r="C156" s="678">
        <v>18</v>
      </c>
      <c r="D156" s="927" t="s">
        <v>984</v>
      </c>
      <c r="E156" s="926"/>
      <c r="F156" s="675"/>
      <c r="G156" s="672"/>
      <c r="H156" s="676"/>
      <c r="S156" s="670"/>
    </row>
    <row r="157" spans="1:19">
      <c r="A157" s="708"/>
      <c r="B157" s="672"/>
      <c r="C157" s="672"/>
      <c r="D157" s="672" t="s">
        <v>759</v>
      </c>
      <c r="E157" s="676" t="s">
        <v>985</v>
      </c>
      <c r="F157" s="680" t="s">
        <v>986</v>
      </c>
      <c r="G157" s="681"/>
      <c r="H157" s="682">
        <v>4810</v>
      </c>
      <c r="J157" s="668" t="str">
        <f t="shared" ref="J157:J159" si="22">E157</f>
        <v>Loss of Taxes - Federal Housing Projects</v>
      </c>
      <c r="L157" s="668">
        <v>66</v>
      </c>
      <c r="M157" s="669">
        <v>57</v>
      </c>
      <c r="N157" s="668"/>
      <c r="O157" s="668">
        <v>5</v>
      </c>
      <c r="P157" s="668" t="str">
        <f>IFERROR(VLOOKUP(F157, [2]MOE!B:C, 2, FALSE), "No")</f>
        <v>No</v>
      </c>
      <c r="S157" s="670"/>
    </row>
    <row r="158" spans="1:19">
      <c r="A158" s="679">
        <v>4820000</v>
      </c>
      <c r="B158" s="672"/>
      <c r="C158" s="672"/>
      <c r="D158" s="672" t="s">
        <v>777</v>
      </c>
      <c r="E158" s="676" t="s">
        <v>987</v>
      </c>
      <c r="F158" s="680" t="s">
        <v>988</v>
      </c>
      <c r="G158" s="681"/>
      <c r="H158" s="682">
        <v>4820</v>
      </c>
      <c r="J158" s="668" t="str">
        <f t="shared" si="22"/>
        <v>Sale of Timber, etc.- Fed. Forest Reserve</v>
      </c>
      <c r="L158" s="668">
        <v>66</v>
      </c>
      <c r="M158" s="669">
        <v>57</v>
      </c>
      <c r="N158" s="668"/>
      <c r="O158" s="668">
        <v>5</v>
      </c>
      <c r="P158" s="668" t="str">
        <f>IFERROR(VLOOKUP(F158, [2]MOE!B:C, 2, FALSE), "No")</f>
        <v>No</v>
      </c>
      <c r="S158" s="670"/>
    </row>
    <row r="159" spans="1:19">
      <c r="A159" s="679">
        <v>4890000</v>
      </c>
      <c r="B159" s="672"/>
      <c r="C159" s="672"/>
      <c r="D159" s="672" t="s">
        <v>801</v>
      </c>
      <c r="E159" s="676" t="s">
        <v>911</v>
      </c>
      <c r="F159" s="680" t="s">
        <v>989</v>
      </c>
      <c r="G159" s="681"/>
      <c r="H159" s="682">
        <v>4890</v>
      </c>
      <c r="J159" s="668" t="str">
        <f t="shared" si="22"/>
        <v>Other Revenue in Lieu of Taxes</v>
      </c>
      <c r="L159" s="668">
        <v>66</v>
      </c>
      <c r="M159" s="669">
        <v>57</v>
      </c>
      <c r="N159" s="668"/>
      <c r="O159" s="668">
        <v>5</v>
      </c>
      <c r="P159" s="668" t="str">
        <f>IFERROR(VLOOKUP(F159, [2]MOE!B:C, 2, FALSE), "No")</f>
        <v>No</v>
      </c>
      <c r="S159" s="670"/>
    </row>
    <row r="160" spans="1:19">
      <c r="A160" s="671"/>
      <c r="B160" s="672"/>
      <c r="C160" s="678">
        <v>19</v>
      </c>
      <c r="D160" s="927" t="s">
        <v>990</v>
      </c>
      <c r="E160" s="926"/>
      <c r="F160" s="675"/>
      <c r="G160" s="672"/>
      <c r="H160" s="676"/>
      <c r="S160" s="670"/>
    </row>
    <row r="161" spans="1:20">
      <c r="A161" s="679">
        <v>4910000</v>
      </c>
      <c r="B161" s="672"/>
      <c r="C161" s="672"/>
      <c r="D161" s="672" t="s">
        <v>759</v>
      </c>
      <c r="E161" s="676" t="s">
        <v>991</v>
      </c>
      <c r="F161" s="680" t="s">
        <v>992</v>
      </c>
      <c r="G161" s="681"/>
      <c r="H161" s="682">
        <v>4910</v>
      </c>
      <c r="J161" s="668" t="str">
        <f t="shared" ref="J161:J163" si="23">E161</f>
        <v>Non-Food Assistance</v>
      </c>
      <c r="L161" s="668">
        <v>66</v>
      </c>
      <c r="M161" s="669">
        <v>57</v>
      </c>
      <c r="N161" s="668"/>
      <c r="O161" s="668">
        <v>5</v>
      </c>
      <c r="P161" s="668" t="str">
        <f>IFERROR(VLOOKUP(F161, [2]MOE!B:C, 2, FALSE), "No")</f>
        <v>No</v>
      </c>
      <c r="S161" s="670"/>
    </row>
    <row r="162" spans="1:20">
      <c r="A162" s="679">
        <v>4920000</v>
      </c>
      <c r="B162" s="672"/>
      <c r="C162" s="672"/>
      <c r="D162" s="672" t="s">
        <v>777</v>
      </c>
      <c r="E162" s="676" t="s">
        <v>993</v>
      </c>
      <c r="F162" s="680" t="s">
        <v>994</v>
      </c>
      <c r="G162" s="681"/>
      <c r="H162" s="682">
        <v>4920</v>
      </c>
      <c r="J162" s="668" t="str">
        <f t="shared" si="23"/>
        <v>Value of USDA Commodities</v>
      </c>
      <c r="L162" s="668">
        <v>66</v>
      </c>
      <c r="M162" s="669">
        <v>57</v>
      </c>
      <c r="N162" s="668"/>
      <c r="O162" s="668">
        <v>5</v>
      </c>
      <c r="P162" s="668" t="str">
        <f>IFERROR(VLOOKUP(F162, [2]MOE!B:C, 2, FALSE), "No")</f>
        <v>No</v>
      </c>
      <c r="S162" s="670"/>
    </row>
    <row r="163" spans="1:20" ht="16" thickBot="1">
      <c r="A163" s="679">
        <v>4990000</v>
      </c>
      <c r="B163" s="672"/>
      <c r="C163" s="672"/>
      <c r="D163" s="672" t="s">
        <v>801</v>
      </c>
      <c r="E163" s="676" t="s">
        <v>995</v>
      </c>
      <c r="F163" s="680" t="s">
        <v>996</v>
      </c>
      <c r="G163" s="681"/>
      <c r="H163" s="682">
        <v>4990</v>
      </c>
      <c r="J163" s="668" t="str">
        <f t="shared" si="23"/>
        <v>Other Revenues For/On Behalf of the LEA</v>
      </c>
      <c r="L163" s="668">
        <v>66</v>
      </c>
      <c r="M163" s="669">
        <v>57</v>
      </c>
      <c r="N163" s="668"/>
      <c r="O163" s="668">
        <v>5</v>
      </c>
      <c r="P163" s="668" t="str">
        <f>IFERROR(VLOOKUP(F163, [2]MOE!B:C, 2, FALSE), "No")</f>
        <v>No</v>
      </c>
      <c r="S163" s="670"/>
    </row>
    <row r="164" spans="1:20" ht="16.5" thickTop="1" thickBot="1">
      <c r="A164" s="671"/>
      <c r="B164" s="931" t="s">
        <v>997</v>
      </c>
      <c r="C164" s="930"/>
      <c r="D164" s="930"/>
      <c r="E164" s="932"/>
      <c r="F164" s="705" t="s">
        <v>671</v>
      </c>
      <c r="G164" s="706"/>
      <c r="H164" s="707"/>
      <c r="S164" s="670"/>
    </row>
    <row r="165" spans="1:20" ht="16.5" thickTop="1" thickBot="1">
      <c r="A165" s="671"/>
      <c r="B165" s="935" t="s">
        <v>998</v>
      </c>
      <c r="C165" s="936"/>
      <c r="D165" s="936"/>
      <c r="E165" s="934"/>
      <c r="F165" s="709" t="s">
        <v>673</v>
      </c>
      <c r="G165" s="663"/>
      <c r="H165" s="664"/>
      <c r="S165" s="670"/>
    </row>
    <row r="166" spans="1:20" ht="18.5" thickTop="1">
      <c r="A166" s="671"/>
      <c r="B166" s="672"/>
      <c r="C166" s="672"/>
      <c r="D166" s="674"/>
      <c r="E166" s="676"/>
      <c r="F166" s="675"/>
      <c r="G166" s="672"/>
      <c r="H166" s="676"/>
      <c r="S166" s="670"/>
    </row>
    <row r="167" spans="1:20" ht="18">
      <c r="A167" s="671"/>
      <c r="B167" s="677"/>
      <c r="C167" s="672"/>
      <c r="D167" s="943" t="s">
        <v>999</v>
      </c>
      <c r="E167" s="926"/>
      <c r="F167" s="675"/>
      <c r="G167" s="672"/>
      <c r="H167" s="676"/>
      <c r="S167" s="670"/>
    </row>
    <row r="168" spans="1:20">
      <c r="A168" s="671"/>
      <c r="B168" s="677"/>
      <c r="C168" s="672"/>
      <c r="D168" s="672"/>
      <c r="E168" s="676"/>
      <c r="F168" s="675"/>
      <c r="G168" s="672"/>
      <c r="H168" s="676"/>
      <c r="S168" s="670"/>
    </row>
    <row r="169" spans="1:20">
      <c r="A169" s="671"/>
      <c r="B169" s="677" t="s">
        <v>757</v>
      </c>
      <c r="C169" s="921" t="s">
        <v>1000</v>
      </c>
      <c r="D169" s="795"/>
      <c r="E169" s="926"/>
      <c r="F169" s="675"/>
      <c r="G169" s="672"/>
      <c r="H169" s="676"/>
      <c r="S169" s="670"/>
    </row>
    <row r="170" spans="1:20">
      <c r="A170" s="671"/>
      <c r="B170" s="677" t="s">
        <v>1001</v>
      </c>
      <c r="C170" s="921" t="s">
        <v>680</v>
      </c>
      <c r="D170" s="795"/>
      <c r="E170" s="926"/>
      <c r="F170" s="675"/>
      <c r="G170" s="672"/>
      <c r="H170" s="676"/>
      <c r="S170" s="670"/>
    </row>
    <row r="171" spans="1:20">
      <c r="A171" s="671"/>
      <c r="B171" s="677"/>
      <c r="C171" s="678">
        <v>1</v>
      </c>
      <c r="D171" s="927" t="s">
        <v>244</v>
      </c>
      <c r="E171" s="926"/>
      <c r="F171" s="675"/>
      <c r="G171" s="672"/>
      <c r="H171" s="676"/>
      <c r="S171" s="670"/>
    </row>
    <row r="172" spans="1:20">
      <c r="A172" s="679">
        <v>1121105</v>
      </c>
      <c r="B172" s="677"/>
      <c r="C172" s="672"/>
      <c r="D172" s="672" t="s">
        <v>759</v>
      </c>
      <c r="E172" s="676" t="s">
        <v>1002</v>
      </c>
      <c r="F172" s="680" t="s">
        <v>1003</v>
      </c>
      <c r="G172" s="710">
        <v>112</v>
      </c>
      <c r="H172" s="682">
        <v>1105</v>
      </c>
      <c r="J172" s="668" t="str">
        <f t="shared" ref="J172:J179" si="24">E172</f>
        <v>Kindergarten Teachers</v>
      </c>
      <c r="L172" s="668">
        <v>82</v>
      </c>
      <c r="M172" s="669">
        <v>77</v>
      </c>
      <c r="N172" s="668"/>
      <c r="O172" s="668">
        <v>7</v>
      </c>
      <c r="P172" s="668" t="str">
        <f>IFERROR(VLOOKUP(F172, [2]MOE!B:C, 2, FALSE), "No")</f>
        <v>No</v>
      </c>
      <c r="Q172" s="711" t="s">
        <v>1004</v>
      </c>
      <c r="R172" s="668" t="s">
        <v>1005</v>
      </c>
      <c r="S172" s="670" t="s">
        <v>1006</v>
      </c>
      <c r="T172" s="668" t="s">
        <v>1002</v>
      </c>
    </row>
    <row r="173" spans="1:20">
      <c r="A173" s="679">
        <v>1121110</v>
      </c>
      <c r="B173" s="677"/>
      <c r="C173" s="672"/>
      <c r="D173" s="672" t="s">
        <v>777</v>
      </c>
      <c r="E173" s="676" t="s">
        <v>1007</v>
      </c>
      <c r="F173" s="680" t="s">
        <v>1008</v>
      </c>
      <c r="G173" s="710">
        <v>112</v>
      </c>
      <c r="H173" s="682">
        <v>1110</v>
      </c>
      <c r="J173" s="668" t="str">
        <f t="shared" si="24"/>
        <v>Elementary Teachers (grades 1 thru 8)</v>
      </c>
      <c r="L173" s="668">
        <v>82</v>
      </c>
      <c r="M173" s="669">
        <v>77</v>
      </c>
      <c r="N173" s="668"/>
      <c r="O173" s="668">
        <v>7</v>
      </c>
      <c r="P173" s="668" t="str">
        <f>IFERROR(VLOOKUP(F173, [2]MOE!B:C, 2, FALSE), "No")</f>
        <v>No</v>
      </c>
      <c r="Q173" s="711" t="s">
        <v>1004</v>
      </c>
      <c r="S173" s="670" t="s">
        <v>1006</v>
      </c>
      <c r="T173" s="668" t="s">
        <v>1007</v>
      </c>
    </row>
    <row r="174" spans="1:20">
      <c r="A174" s="679">
        <v>1121130</v>
      </c>
      <c r="B174" s="677"/>
      <c r="C174" s="672"/>
      <c r="D174" s="672" t="s">
        <v>801</v>
      </c>
      <c r="E174" s="676" t="s">
        <v>1009</v>
      </c>
      <c r="F174" s="680" t="s">
        <v>1010</v>
      </c>
      <c r="G174" s="710">
        <v>112</v>
      </c>
      <c r="H174" s="682">
        <v>1130</v>
      </c>
      <c r="J174" s="668" t="str">
        <f t="shared" si="24"/>
        <v>Secondary Teachers (grades 9 thru 12)</v>
      </c>
      <c r="L174" s="668">
        <v>82</v>
      </c>
      <c r="M174" s="669">
        <v>77</v>
      </c>
      <c r="N174" s="668"/>
      <c r="O174" s="668">
        <v>7</v>
      </c>
      <c r="P174" s="668" t="str">
        <f>IFERROR(VLOOKUP(F174, [2]MOE!B:C, 2, FALSE), "No")</f>
        <v>No</v>
      </c>
      <c r="Q174" s="711" t="s">
        <v>1004</v>
      </c>
      <c r="S174" s="670" t="s">
        <v>1006</v>
      </c>
      <c r="T174" s="668" t="s">
        <v>1009</v>
      </c>
    </row>
    <row r="175" spans="1:20">
      <c r="A175" s="679">
        <v>1151100</v>
      </c>
      <c r="B175" s="677"/>
      <c r="C175" s="672"/>
      <c r="D175" s="672" t="s">
        <v>805</v>
      </c>
      <c r="E175" s="676" t="s">
        <v>1011</v>
      </c>
      <c r="F175" s="680" t="s">
        <v>1012</v>
      </c>
      <c r="G175" s="710">
        <v>115</v>
      </c>
      <c r="H175" s="682">
        <v>1100</v>
      </c>
      <c r="J175" s="668" t="str">
        <f t="shared" si="24"/>
        <v>Aides</v>
      </c>
      <c r="L175" s="668">
        <v>86</v>
      </c>
      <c r="M175" s="669">
        <v>81</v>
      </c>
      <c r="N175" s="668"/>
      <c r="O175" s="668">
        <v>7</v>
      </c>
      <c r="P175" s="668" t="str">
        <f>IFERROR(VLOOKUP(F175, [2]MOE!B:C, 2, FALSE), "No")</f>
        <v>No</v>
      </c>
      <c r="Q175" s="711" t="s">
        <v>1004</v>
      </c>
      <c r="S175" s="670" t="s">
        <v>1006</v>
      </c>
      <c r="T175" s="668" t="s">
        <v>1011</v>
      </c>
    </row>
    <row r="176" spans="1:20">
      <c r="A176" s="679">
        <v>1231100</v>
      </c>
      <c r="B176" s="677"/>
      <c r="C176" s="672"/>
      <c r="D176" s="672" t="s">
        <v>850</v>
      </c>
      <c r="E176" s="676" t="s">
        <v>1013</v>
      </c>
      <c r="F176" s="680" t="s">
        <v>1014</v>
      </c>
      <c r="G176" s="710">
        <v>123</v>
      </c>
      <c r="H176" s="682">
        <v>1100</v>
      </c>
      <c r="J176" s="668" t="str">
        <f t="shared" si="24"/>
        <v>Substitute Teachers and Aides</v>
      </c>
      <c r="L176" s="668">
        <v>86</v>
      </c>
      <c r="M176" s="669">
        <v>81</v>
      </c>
      <c r="N176" s="668"/>
      <c r="O176" s="668">
        <v>7</v>
      </c>
      <c r="P176" s="668" t="str">
        <f>IFERROR(VLOOKUP(F176, [2]MOE!B:C, 2, FALSE), "No")</f>
        <v>No</v>
      </c>
      <c r="Q176" s="711" t="s">
        <v>1004</v>
      </c>
      <c r="S176" s="670" t="s">
        <v>1006</v>
      </c>
      <c r="T176" s="668" t="s">
        <v>1013</v>
      </c>
    </row>
    <row r="177" spans="1:20">
      <c r="A177" s="679">
        <v>1201100</v>
      </c>
      <c r="B177" s="677"/>
      <c r="C177" s="672"/>
      <c r="D177" s="672" t="s">
        <v>853</v>
      </c>
      <c r="E177" s="676" t="s">
        <v>1015</v>
      </c>
      <c r="F177" s="680" t="s">
        <v>1016</v>
      </c>
      <c r="G177" s="710">
        <v>120</v>
      </c>
      <c r="H177" s="682">
        <v>1100</v>
      </c>
      <c r="J177" s="668" t="str">
        <f t="shared" si="24"/>
        <v>Other Substitute/Temporary Employees</v>
      </c>
      <c r="L177" s="668">
        <v>86</v>
      </c>
      <c r="M177" s="669">
        <v>81</v>
      </c>
      <c r="N177" s="668"/>
      <c r="O177" s="668">
        <v>7</v>
      </c>
      <c r="P177" s="668" t="str">
        <f>IFERROR(VLOOKUP(F177, [2]MOE!B:C, 2, FALSE), "No")</f>
        <v>No</v>
      </c>
      <c r="Q177" s="711" t="s">
        <v>1004</v>
      </c>
      <c r="S177" s="670" t="s">
        <v>1006</v>
      </c>
      <c r="T177" s="668" t="s">
        <v>1015</v>
      </c>
    </row>
    <row r="178" spans="1:20">
      <c r="A178" s="679">
        <v>1001100</v>
      </c>
      <c r="B178" s="677"/>
      <c r="C178" s="672"/>
      <c r="D178" s="672" t="s">
        <v>856</v>
      </c>
      <c r="E178" s="676" t="s">
        <v>1017</v>
      </c>
      <c r="F178" s="680" t="s">
        <v>1018</v>
      </c>
      <c r="G178" s="710">
        <v>100</v>
      </c>
      <c r="H178" s="682">
        <v>1100</v>
      </c>
      <c r="J178" s="668" t="str">
        <f t="shared" si="24"/>
        <v>Other Instructional Salaries</v>
      </c>
      <c r="L178" s="668">
        <v>86</v>
      </c>
      <c r="M178" s="669">
        <v>81</v>
      </c>
      <c r="N178" s="668"/>
      <c r="O178" s="668">
        <v>7</v>
      </c>
      <c r="P178" s="668" t="str">
        <f>IFERROR(VLOOKUP(F178, [2]MOE!B:C, 2, FALSE), "No")</f>
        <v>No</v>
      </c>
      <c r="Q178" s="711" t="s">
        <v>1004</v>
      </c>
      <c r="S178" s="670" t="s">
        <v>1006</v>
      </c>
      <c r="T178" s="668" t="s">
        <v>1017</v>
      </c>
    </row>
    <row r="179" spans="1:20">
      <c r="A179" s="679">
        <v>1401100</v>
      </c>
      <c r="B179" s="677"/>
      <c r="C179" s="672"/>
      <c r="D179" s="672" t="s">
        <v>859</v>
      </c>
      <c r="E179" s="676" t="s">
        <v>1019</v>
      </c>
      <c r="F179" s="680" t="s">
        <v>1020</v>
      </c>
      <c r="G179" s="710">
        <v>140</v>
      </c>
      <c r="H179" s="682">
        <v>1100</v>
      </c>
      <c r="J179" s="668" t="str">
        <f t="shared" si="24"/>
        <v>Sabbatical Leave</v>
      </c>
      <c r="L179" s="668">
        <v>86</v>
      </c>
      <c r="M179" s="669">
        <v>81</v>
      </c>
      <c r="N179" s="668"/>
      <c r="O179" s="668">
        <v>7</v>
      </c>
      <c r="P179" s="668" t="str">
        <f>IFERROR(VLOOKUP(F179, [2]MOE!B:C, 2, FALSE), "No")</f>
        <v>No</v>
      </c>
      <c r="Q179" s="711" t="s">
        <v>1004</v>
      </c>
      <c r="S179" s="670" t="s">
        <v>1006</v>
      </c>
      <c r="T179" s="668" t="s">
        <v>1019</v>
      </c>
    </row>
    <row r="180" spans="1:20">
      <c r="A180" s="679">
        <v>3001100</v>
      </c>
      <c r="B180" s="677"/>
      <c r="C180" s="678">
        <v>2</v>
      </c>
      <c r="D180" s="927" t="s">
        <v>1021</v>
      </c>
      <c r="E180" s="926"/>
      <c r="F180" s="680" t="s">
        <v>1022</v>
      </c>
      <c r="G180" s="710">
        <v>300</v>
      </c>
      <c r="H180" s="682">
        <v>1100</v>
      </c>
      <c r="J180" s="668" t="str">
        <f>D180</f>
        <v>Purchased Professional and Technical Services</v>
      </c>
      <c r="L180" s="668">
        <v>101</v>
      </c>
      <c r="M180" s="669">
        <v>96</v>
      </c>
      <c r="N180" s="668"/>
      <c r="O180" s="668">
        <v>7</v>
      </c>
      <c r="P180" s="668" t="str">
        <f>IFERROR(VLOOKUP(F180, [2]MOE!B:C, 2, FALSE), "No")</f>
        <v>No</v>
      </c>
      <c r="Q180" s="711"/>
      <c r="S180" s="670" t="s">
        <v>1006</v>
      </c>
      <c r="T180" s="668" t="s">
        <v>1021</v>
      </c>
    </row>
    <row r="181" spans="1:20">
      <c r="A181" s="671"/>
      <c r="B181" s="677"/>
      <c r="C181" s="678">
        <v>3</v>
      </c>
      <c r="D181" s="927" t="s">
        <v>250</v>
      </c>
      <c r="E181" s="926"/>
      <c r="F181" s="675"/>
      <c r="G181" s="672"/>
      <c r="H181" s="676"/>
      <c r="Q181" s="711"/>
      <c r="S181" s="670"/>
    </row>
    <row r="182" spans="1:20">
      <c r="A182" s="679">
        <v>4301100</v>
      </c>
      <c r="B182" s="677"/>
      <c r="C182" s="672"/>
      <c r="D182" s="672" t="s">
        <v>759</v>
      </c>
      <c r="E182" s="676" t="s">
        <v>1023</v>
      </c>
      <c r="F182" s="683" t="s">
        <v>1024</v>
      </c>
      <c r="G182" s="710">
        <v>430</v>
      </c>
      <c r="H182" s="682">
        <v>1100</v>
      </c>
      <c r="J182" s="668" t="str">
        <f t="shared" ref="J182:J184" si="25">E182</f>
        <v>Repairs and Maintenance Services</v>
      </c>
      <c r="L182" s="668">
        <v>107</v>
      </c>
      <c r="M182" s="669">
        <v>102</v>
      </c>
      <c r="N182" s="668"/>
      <c r="O182" s="668">
        <v>7</v>
      </c>
      <c r="P182" s="668" t="str">
        <f>IFERROR(VLOOKUP(F182, [2]MOE!B:C, 2, FALSE), "No")</f>
        <v>No</v>
      </c>
      <c r="Q182" s="711"/>
      <c r="S182" s="670" t="s">
        <v>1006</v>
      </c>
      <c r="T182" s="668" t="s">
        <v>1023</v>
      </c>
    </row>
    <row r="183" spans="1:20">
      <c r="A183" s="679">
        <v>4421100</v>
      </c>
      <c r="B183" s="677"/>
      <c r="C183" s="672"/>
      <c r="D183" s="672" t="s">
        <v>777</v>
      </c>
      <c r="E183" s="676" t="s">
        <v>1025</v>
      </c>
      <c r="F183" s="683" t="s">
        <v>1026</v>
      </c>
      <c r="G183" s="678">
        <v>442</v>
      </c>
      <c r="H183" s="684">
        <v>1100</v>
      </c>
      <c r="J183" s="668" t="str">
        <f t="shared" si="25"/>
        <v>Rental of Equipment</v>
      </c>
      <c r="L183" s="668">
        <v>106</v>
      </c>
      <c r="M183" s="669">
        <v>101</v>
      </c>
      <c r="N183" s="668"/>
      <c r="O183" s="668">
        <v>7</v>
      </c>
      <c r="P183" s="668" t="str">
        <f>IFERROR(VLOOKUP(F183, [2]MOE!B:C, 2, FALSE), "No")</f>
        <v>No</v>
      </c>
      <c r="Q183" s="711"/>
      <c r="S183" s="670" t="s">
        <v>1006</v>
      </c>
      <c r="T183" s="668" t="s">
        <v>1025</v>
      </c>
    </row>
    <row r="184" spans="1:20">
      <c r="A184" s="679">
        <v>4001100</v>
      </c>
      <c r="B184" s="677"/>
      <c r="C184" s="672"/>
      <c r="D184" s="672" t="s">
        <v>801</v>
      </c>
      <c r="E184" s="676" t="s">
        <v>1027</v>
      </c>
      <c r="F184" s="683" t="s">
        <v>1028</v>
      </c>
      <c r="G184" s="678">
        <v>400</v>
      </c>
      <c r="H184" s="684">
        <v>1100</v>
      </c>
      <c r="J184" s="668" t="str">
        <f t="shared" si="25"/>
        <v>Other Purchased Property Services</v>
      </c>
      <c r="L184" s="668">
        <v>108</v>
      </c>
      <c r="M184" s="669">
        <v>103</v>
      </c>
      <c r="N184" s="668"/>
      <c r="O184" s="668">
        <v>7</v>
      </c>
      <c r="P184" s="668" t="str">
        <f>IFERROR(VLOOKUP(F184, [2]MOE!B:C, 2, FALSE), "No")</f>
        <v>No</v>
      </c>
      <c r="Q184" s="711"/>
      <c r="S184" s="670" t="s">
        <v>1006</v>
      </c>
      <c r="T184" s="668" t="s">
        <v>1027</v>
      </c>
    </row>
    <row r="185" spans="1:20">
      <c r="A185" s="671"/>
      <c r="B185" s="677"/>
      <c r="C185" s="678">
        <v>4</v>
      </c>
      <c r="D185" s="927" t="s">
        <v>252</v>
      </c>
      <c r="E185" s="926"/>
      <c r="F185" s="675"/>
      <c r="G185" s="672"/>
      <c r="H185" s="676"/>
      <c r="Q185" s="711"/>
      <c r="S185" s="670"/>
    </row>
    <row r="186" spans="1:20">
      <c r="A186" s="671"/>
      <c r="B186" s="677"/>
      <c r="C186" s="672"/>
      <c r="D186" s="672" t="s">
        <v>759</v>
      </c>
      <c r="E186" s="676" t="s">
        <v>1029</v>
      </c>
      <c r="F186" s="675"/>
      <c r="G186" s="672"/>
      <c r="H186" s="676"/>
      <c r="Q186" s="711"/>
      <c r="S186" s="670"/>
    </row>
    <row r="187" spans="1:20">
      <c r="A187" s="679">
        <v>5611100</v>
      </c>
      <c r="B187" s="677"/>
      <c r="C187" s="672"/>
      <c r="D187" s="672"/>
      <c r="E187" s="676" t="s">
        <v>1030</v>
      </c>
      <c r="F187" s="680" t="s">
        <v>1031</v>
      </c>
      <c r="G187" s="712">
        <v>561</v>
      </c>
      <c r="H187" s="682">
        <v>1100</v>
      </c>
      <c r="J187" s="668" t="str">
        <f t="shared" ref="J187:J191" si="26">E187</f>
        <v>(1) Paid to Other LEA (In-State)</v>
      </c>
      <c r="L187" s="668">
        <v>119</v>
      </c>
      <c r="M187" s="669">
        <v>110</v>
      </c>
      <c r="N187" s="668"/>
      <c r="O187" s="668">
        <v>7</v>
      </c>
      <c r="P187" s="668" t="str">
        <f>IFERROR(VLOOKUP(F187, [2]MOE!B:C, 2, FALSE), "No")</f>
        <v>No</v>
      </c>
      <c r="Q187" s="711"/>
      <c r="S187" s="670" t="s">
        <v>1006</v>
      </c>
      <c r="T187" s="668" t="s">
        <v>1032</v>
      </c>
    </row>
    <row r="188" spans="1:20">
      <c r="A188" s="679">
        <v>5621100</v>
      </c>
      <c r="B188" s="677"/>
      <c r="C188" s="672"/>
      <c r="D188" s="672"/>
      <c r="E188" s="676" t="s">
        <v>1033</v>
      </c>
      <c r="F188" s="680" t="s">
        <v>1034</v>
      </c>
      <c r="G188" s="710">
        <v>562</v>
      </c>
      <c r="H188" s="682">
        <v>1100</v>
      </c>
      <c r="J188" s="668" t="str">
        <f t="shared" si="26"/>
        <v>(2) Paid to Other LEA (Out-of-State)</v>
      </c>
      <c r="L188" s="668">
        <v>119</v>
      </c>
      <c r="M188" s="669">
        <v>110</v>
      </c>
      <c r="N188" s="668"/>
      <c r="O188" s="668">
        <v>7</v>
      </c>
      <c r="P188" s="668" t="str">
        <f>IFERROR(VLOOKUP(F188, [2]MOE!B:C, 2, FALSE), "No")</f>
        <v>No</v>
      </c>
      <c r="Q188" s="711"/>
      <c r="S188" s="670" t="s">
        <v>1006</v>
      </c>
      <c r="T188" s="668" t="s">
        <v>1035</v>
      </c>
    </row>
    <row r="189" spans="1:20">
      <c r="A189" s="679">
        <v>5631100</v>
      </c>
      <c r="B189" s="677"/>
      <c r="C189" s="672"/>
      <c r="D189" s="672"/>
      <c r="E189" s="676" t="s">
        <v>1036</v>
      </c>
      <c r="F189" s="680" t="s">
        <v>1037</v>
      </c>
      <c r="G189" s="710">
        <v>563</v>
      </c>
      <c r="H189" s="682">
        <v>1100</v>
      </c>
      <c r="J189" s="668" t="str">
        <f t="shared" si="26"/>
        <v>(3) Paid to Private Sources</v>
      </c>
      <c r="L189" s="668">
        <v>119</v>
      </c>
      <c r="M189" s="669">
        <v>110</v>
      </c>
      <c r="N189" s="668"/>
      <c r="O189" s="668">
        <v>7</v>
      </c>
      <c r="P189" s="668" t="str">
        <f>IFERROR(VLOOKUP(F189, [2]MOE!B:C, 2, FALSE), "No")</f>
        <v>No</v>
      </c>
      <c r="Q189" s="711"/>
      <c r="S189" s="670" t="s">
        <v>1006</v>
      </c>
      <c r="T189" s="668" t="s">
        <v>1038</v>
      </c>
    </row>
    <row r="190" spans="1:20">
      <c r="A190" s="679">
        <v>5821100</v>
      </c>
      <c r="B190" s="677"/>
      <c r="C190" s="672"/>
      <c r="D190" s="672" t="s">
        <v>777</v>
      </c>
      <c r="E190" s="676" t="s">
        <v>1039</v>
      </c>
      <c r="F190" s="680" t="s">
        <v>1040</v>
      </c>
      <c r="G190" s="710">
        <v>582</v>
      </c>
      <c r="H190" s="682">
        <v>1100</v>
      </c>
      <c r="J190" s="668" t="str">
        <f t="shared" si="26"/>
        <v>Travel Expense Reimbursement</v>
      </c>
      <c r="L190" s="668">
        <v>118</v>
      </c>
      <c r="M190" s="669">
        <v>109</v>
      </c>
      <c r="N190" s="668"/>
      <c r="O190" s="668">
        <v>7</v>
      </c>
      <c r="P190" s="668" t="str">
        <f>IFERROR(VLOOKUP(F190, [2]MOE!B:C, 2, FALSE), "No")</f>
        <v>No</v>
      </c>
      <c r="Q190" s="711"/>
      <c r="S190" s="670" t="s">
        <v>1006</v>
      </c>
      <c r="T190" s="668" t="s">
        <v>1039</v>
      </c>
    </row>
    <row r="191" spans="1:20">
      <c r="A191" s="679">
        <v>5001100</v>
      </c>
      <c r="B191" s="677"/>
      <c r="C191" s="672"/>
      <c r="D191" s="672" t="s">
        <v>801</v>
      </c>
      <c r="E191" s="676" t="s">
        <v>252</v>
      </c>
      <c r="F191" s="683" t="s">
        <v>1041</v>
      </c>
      <c r="G191" s="678">
        <v>500</v>
      </c>
      <c r="H191" s="684">
        <v>1100</v>
      </c>
      <c r="J191" s="668" t="str">
        <f t="shared" si="26"/>
        <v>Other Purchased Services</v>
      </c>
      <c r="L191" s="668">
        <v>119</v>
      </c>
      <c r="M191" s="669">
        <v>110</v>
      </c>
      <c r="N191" s="668"/>
      <c r="O191" s="668">
        <v>7</v>
      </c>
      <c r="P191" s="668" t="str">
        <f>IFERROR(VLOOKUP(F191, [2]MOE!B:C, 2, FALSE), "No")</f>
        <v>No</v>
      </c>
      <c r="Q191" s="711"/>
      <c r="S191" s="670" t="s">
        <v>1006</v>
      </c>
      <c r="T191" s="668" t="s">
        <v>252</v>
      </c>
    </row>
    <row r="192" spans="1:20">
      <c r="A192" s="671"/>
      <c r="B192" s="677"/>
      <c r="C192" s="678">
        <v>5</v>
      </c>
      <c r="D192" s="927" t="s">
        <v>1042</v>
      </c>
      <c r="E192" s="926"/>
      <c r="F192" s="675"/>
      <c r="G192" s="672"/>
      <c r="H192" s="676"/>
      <c r="Q192" s="711"/>
      <c r="S192" s="670"/>
    </row>
    <row r="193" spans="1:20">
      <c r="A193" s="679">
        <v>6151100</v>
      </c>
      <c r="B193" s="677"/>
      <c r="C193" s="672"/>
      <c r="D193" s="672" t="s">
        <v>759</v>
      </c>
      <c r="E193" s="676" t="s">
        <v>1043</v>
      </c>
      <c r="F193" s="680" t="s">
        <v>1044</v>
      </c>
      <c r="G193" s="710">
        <v>615</v>
      </c>
      <c r="H193" s="682">
        <v>1100</v>
      </c>
      <c r="J193" s="668" t="str">
        <f t="shared" ref="J193:J196" si="27">E193</f>
        <v>Technology-Related Supplies</v>
      </c>
      <c r="L193" s="668">
        <v>126</v>
      </c>
      <c r="M193" s="669">
        <v>117</v>
      </c>
      <c r="N193" s="668"/>
      <c r="O193" s="668">
        <v>7</v>
      </c>
      <c r="P193" s="668" t="str">
        <f>IFERROR(VLOOKUP(F193, [2]MOE!B:C, 2, FALSE), "No")</f>
        <v>No</v>
      </c>
      <c r="Q193" s="711" t="s">
        <v>1045</v>
      </c>
      <c r="S193" s="670" t="s">
        <v>1006</v>
      </c>
      <c r="T193" s="668" t="s">
        <v>1043</v>
      </c>
    </row>
    <row r="194" spans="1:20">
      <c r="A194" s="679">
        <v>6101100</v>
      </c>
      <c r="B194" s="677"/>
      <c r="C194" s="672"/>
      <c r="D194" s="672" t="s">
        <v>777</v>
      </c>
      <c r="E194" s="676" t="s">
        <v>1046</v>
      </c>
      <c r="F194" s="680" t="s">
        <v>1047</v>
      </c>
      <c r="G194" s="710">
        <v>610</v>
      </c>
      <c r="H194" s="682">
        <v>1100</v>
      </c>
      <c r="J194" s="668" t="str">
        <f t="shared" si="27"/>
        <v>Materials and Supplies (e.g., rpt. cards)</v>
      </c>
      <c r="L194" s="668">
        <v>122</v>
      </c>
      <c r="M194" s="669">
        <v>113</v>
      </c>
      <c r="N194" s="668"/>
      <c r="O194" s="668">
        <v>7</v>
      </c>
      <c r="P194" s="668" t="str">
        <f>IFERROR(VLOOKUP(F194, [2]MOE!B:C, 2, FALSE), "No")</f>
        <v>No</v>
      </c>
      <c r="Q194" s="711" t="s">
        <v>1045</v>
      </c>
      <c r="S194" s="670" t="s">
        <v>1006</v>
      </c>
      <c r="T194" s="668" t="s">
        <v>39</v>
      </c>
    </row>
    <row r="195" spans="1:20">
      <c r="A195" s="679">
        <v>6421100</v>
      </c>
      <c r="B195" s="677"/>
      <c r="C195" s="672"/>
      <c r="D195" s="672" t="s">
        <v>801</v>
      </c>
      <c r="E195" s="676" t="s">
        <v>1048</v>
      </c>
      <c r="F195" s="680" t="s">
        <v>1049</v>
      </c>
      <c r="G195" s="710">
        <v>642</v>
      </c>
      <c r="H195" s="682">
        <v>1100</v>
      </c>
      <c r="J195" s="668" t="str">
        <f t="shared" si="27"/>
        <v>Textbooks/Workbooks</v>
      </c>
      <c r="L195" s="668">
        <v>125</v>
      </c>
      <c r="M195" s="669">
        <v>116</v>
      </c>
      <c r="N195" s="668"/>
      <c r="O195" s="668">
        <v>7</v>
      </c>
      <c r="P195" s="668" t="str">
        <f>IFERROR(VLOOKUP(F195, [2]MOE!B:C, 2, FALSE), "No")</f>
        <v>No</v>
      </c>
      <c r="Q195" s="711" t="s">
        <v>1045</v>
      </c>
      <c r="S195" s="670" t="s">
        <v>1006</v>
      </c>
      <c r="T195" s="668" t="s">
        <v>1048</v>
      </c>
    </row>
    <row r="196" spans="1:20">
      <c r="A196" s="679">
        <v>6001100</v>
      </c>
      <c r="B196" s="677"/>
      <c r="C196" s="672"/>
      <c r="D196" s="672" t="s">
        <v>805</v>
      </c>
      <c r="E196" s="676" t="s">
        <v>1050</v>
      </c>
      <c r="F196" s="680" t="s">
        <v>1051</v>
      </c>
      <c r="G196" s="710">
        <v>600</v>
      </c>
      <c r="H196" s="682">
        <v>1100</v>
      </c>
      <c r="J196" s="668" t="str">
        <f t="shared" si="27"/>
        <v>Other Supplies</v>
      </c>
      <c r="L196" s="668">
        <v>126</v>
      </c>
      <c r="M196" s="669">
        <v>117</v>
      </c>
      <c r="N196" s="668"/>
      <c r="O196" s="668">
        <v>7</v>
      </c>
      <c r="P196" s="668" t="str">
        <f>IFERROR(VLOOKUP(F196, [2]MOE!B:C, 2, FALSE), "No")</f>
        <v>No</v>
      </c>
      <c r="Q196" s="711"/>
      <c r="S196" s="670" t="s">
        <v>1006</v>
      </c>
      <c r="T196" s="668" t="s">
        <v>1050</v>
      </c>
    </row>
    <row r="197" spans="1:20">
      <c r="A197" s="671"/>
      <c r="B197" s="677"/>
      <c r="C197" s="678">
        <v>6</v>
      </c>
      <c r="D197" s="927" t="s">
        <v>1052</v>
      </c>
      <c r="E197" s="926"/>
      <c r="F197" s="675"/>
      <c r="G197" s="672"/>
      <c r="H197" s="676"/>
      <c r="Q197" s="711"/>
      <c r="S197" s="670"/>
    </row>
    <row r="198" spans="1:20">
      <c r="A198" s="679">
        <v>7341100</v>
      </c>
      <c r="B198" s="677"/>
      <c r="C198" s="672"/>
      <c r="D198" s="672" t="s">
        <v>759</v>
      </c>
      <c r="E198" s="676" t="s">
        <v>1053</v>
      </c>
      <c r="F198" s="680" t="s">
        <v>1054</v>
      </c>
      <c r="G198" s="710">
        <v>734</v>
      </c>
      <c r="H198" s="682">
        <v>1100</v>
      </c>
      <c r="J198" s="668" t="str">
        <f t="shared" ref="J198:J201" si="28">E198</f>
        <v>Technology-Related Hardware</v>
      </c>
      <c r="L198" s="668">
        <v>131</v>
      </c>
      <c r="M198" s="669">
        <v>122</v>
      </c>
      <c r="N198" s="668"/>
      <c r="O198" s="668">
        <v>7</v>
      </c>
      <c r="P198" s="668" t="str">
        <f>IFERROR(VLOOKUP(F198, [2]MOE!B:C, 2, FALSE), "No")</f>
        <v>No</v>
      </c>
      <c r="Q198" s="711"/>
      <c r="S198" s="670" t="s">
        <v>1006</v>
      </c>
      <c r="T198" s="668" t="s">
        <v>1053</v>
      </c>
    </row>
    <row r="199" spans="1:20">
      <c r="A199" s="679">
        <v>7351100</v>
      </c>
      <c r="B199" s="677"/>
      <c r="C199" s="672"/>
      <c r="D199" s="672" t="s">
        <v>777</v>
      </c>
      <c r="E199" s="676" t="s">
        <v>1055</v>
      </c>
      <c r="F199" s="680" t="s">
        <v>1056</v>
      </c>
      <c r="G199" s="710">
        <v>735</v>
      </c>
      <c r="H199" s="682">
        <v>1100</v>
      </c>
      <c r="J199" s="668" t="str">
        <f t="shared" si="28"/>
        <v>Technology Software</v>
      </c>
      <c r="L199" s="668">
        <v>131</v>
      </c>
      <c r="M199" s="669">
        <v>122</v>
      </c>
      <c r="N199" s="668"/>
      <c r="O199" s="668">
        <v>7</v>
      </c>
      <c r="P199" s="668" t="str">
        <f>IFERROR(VLOOKUP(F199, [2]MOE!B:C, 2, FALSE), "No")</f>
        <v>No</v>
      </c>
      <c r="Q199" s="711"/>
      <c r="S199" s="670" t="s">
        <v>1006</v>
      </c>
      <c r="T199" s="668" t="s">
        <v>1055</v>
      </c>
    </row>
    <row r="200" spans="1:20">
      <c r="A200" s="679">
        <v>7301100</v>
      </c>
      <c r="B200" s="677"/>
      <c r="C200" s="672"/>
      <c r="D200" s="672" t="s">
        <v>801</v>
      </c>
      <c r="E200" s="676" t="s">
        <v>1057</v>
      </c>
      <c r="F200" s="680" t="s">
        <v>1058</v>
      </c>
      <c r="G200" s="710">
        <v>730</v>
      </c>
      <c r="H200" s="682">
        <v>1100</v>
      </c>
      <c r="J200" s="668" t="str">
        <f t="shared" si="28"/>
        <v>All Other Equipment</v>
      </c>
      <c r="L200" s="668">
        <v>131</v>
      </c>
      <c r="M200" s="669">
        <v>122</v>
      </c>
      <c r="N200" s="668"/>
      <c r="O200" s="668">
        <v>7</v>
      </c>
      <c r="P200" s="668" t="str">
        <f>IFERROR(VLOOKUP(F200, [2]MOE!B:C, 2, FALSE), "No")</f>
        <v>No</v>
      </c>
      <c r="Q200" s="711"/>
      <c r="S200" s="670" t="s">
        <v>1006</v>
      </c>
      <c r="T200" s="668" t="s">
        <v>1057</v>
      </c>
    </row>
    <row r="201" spans="1:20">
      <c r="A201" s="679">
        <v>7001100</v>
      </c>
      <c r="B201" s="677"/>
      <c r="C201" s="672"/>
      <c r="D201" s="672" t="s">
        <v>805</v>
      </c>
      <c r="E201" s="676" t="s">
        <v>1059</v>
      </c>
      <c r="F201" s="680" t="s">
        <v>1060</v>
      </c>
      <c r="G201" s="710">
        <v>700</v>
      </c>
      <c r="H201" s="682">
        <v>1100</v>
      </c>
      <c r="J201" s="668" t="str">
        <f t="shared" si="28"/>
        <v>Other Property</v>
      </c>
      <c r="L201" s="668">
        <v>132</v>
      </c>
      <c r="M201" s="669">
        <v>123</v>
      </c>
      <c r="N201" s="668"/>
      <c r="O201" s="668">
        <v>7</v>
      </c>
      <c r="P201" s="668" t="str">
        <f>IFERROR(VLOOKUP(F201, [2]MOE!B:C, 2, FALSE), "No")</f>
        <v>No</v>
      </c>
      <c r="Q201" s="711"/>
      <c r="S201" s="670" t="s">
        <v>1006</v>
      </c>
      <c r="T201" s="668" t="s">
        <v>1059</v>
      </c>
    </row>
    <row r="202" spans="1:20">
      <c r="A202" s="671"/>
      <c r="B202" s="677"/>
      <c r="C202" s="678">
        <v>7</v>
      </c>
      <c r="D202" s="927" t="s">
        <v>256</v>
      </c>
      <c r="E202" s="926"/>
      <c r="F202" s="675"/>
      <c r="G202" s="672"/>
      <c r="H202" s="676"/>
      <c r="Q202" s="711"/>
      <c r="S202" s="670"/>
    </row>
    <row r="203" spans="1:20">
      <c r="A203" s="679">
        <v>8951100</v>
      </c>
      <c r="B203" s="677"/>
      <c r="C203" s="672"/>
      <c r="D203" s="672" t="s">
        <v>759</v>
      </c>
      <c r="E203" s="676" t="s">
        <v>1061</v>
      </c>
      <c r="F203" s="713" t="s">
        <v>1062</v>
      </c>
      <c r="G203" s="714">
        <v>895</v>
      </c>
      <c r="H203" s="715">
        <v>1100</v>
      </c>
      <c r="J203" s="668" t="str">
        <f t="shared" ref="J203:J204" si="29">E203</f>
        <v>Miscellaneous Non-Public Expenditures</v>
      </c>
      <c r="L203" s="668">
        <v>139</v>
      </c>
      <c r="M203" s="669">
        <v>129</v>
      </c>
      <c r="N203" s="668"/>
      <c r="O203" s="668">
        <v>7</v>
      </c>
      <c r="P203" s="668" t="str">
        <f>IFERROR(VLOOKUP(F203, [2]MOE!B:C, 2, FALSE), "No")</f>
        <v>No</v>
      </c>
      <c r="Q203" s="711"/>
      <c r="S203" s="670" t="s">
        <v>1006</v>
      </c>
      <c r="T203" s="668" t="s">
        <v>1061</v>
      </c>
    </row>
    <row r="204" spans="1:20">
      <c r="A204" s="679">
        <v>8001100</v>
      </c>
      <c r="B204" s="677"/>
      <c r="C204" s="672"/>
      <c r="D204" s="672" t="s">
        <v>777</v>
      </c>
      <c r="E204" s="676" t="s">
        <v>1063</v>
      </c>
      <c r="F204" s="683" t="s">
        <v>1064</v>
      </c>
      <c r="G204" s="678">
        <v>800</v>
      </c>
      <c r="H204" s="684">
        <v>1100</v>
      </c>
      <c r="J204" s="668" t="str">
        <f t="shared" si="29"/>
        <v>Other Miscellaneous Expenditures</v>
      </c>
      <c r="L204" s="668">
        <v>139</v>
      </c>
      <c r="M204" s="669">
        <v>129</v>
      </c>
      <c r="N204" s="668"/>
      <c r="O204" s="668">
        <v>7</v>
      </c>
      <c r="P204" s="668" t="str">
        <f>IFERROR(VLOOKUP(F204, [2]MOE!B:C, 2, FALSE), "No")</f>
        <v>No</v>
      </c>
      <c r="Q204" s="711"/>
      <c r="S204" s="670" t="s">
        <v>1006</v>
      </c>
      <c r="T204" s="668" t="s">
        <v>1063</v>
      </c>
    </row>
    <row r="205" spans="1:20">
      <c r="A205" s="671"/>
      <c r="B205" s="677"/>
      <c r="C205" s="678">
        <v>8</v>
      </c>
      <c r="D205" s="927" t="s">
        <v>1065</v>
      </c>
      <c r="E205" s="926"/>
      <c r="F205" s="675"/>
      <c r="G205" s="672"/>
      <c r="H205" s="676"/>
      <c r="Q205" s="711"/>
      <c r="S205" s="670"/>
    </row>
    <row r="206" spans="1:20">
      <c r="A206" s="679">
        <v>2101100</v>
      </c>
      <c r="B206" s="677"/>
      <c r="C206" s="672"/>
      <c r="D206" s="672" t="s">
        <v>759</v>
      </c>
      <c r="E206" s="676" t="s">
        <v>1066</v>
      </c>
      <c r="F206" s="680" t="s">
        <v>1067</v>
      </c>
      <c r="G206" s="712">
        <v>210</v>
      </c>
      <c r="H206" s="682">
        <v>1100</v>
      </c>
      <c r="J206" s="668" t="str">
        <f t="shared" ref="J206:J208" si="30">E206</f>
        <v>Group Insurance</v>
      </c>
      <c r="L206" s="668">
        <v>89</v>
      </c>
      <c r="M206" s="669">
        <v>84</v>
      </c>
      <c r="N206" s="668"/>
      <c r="O206" s="668">
        <v>7</v>
      </c>
      <c r="P206" s="668" t="str">
        <f>IFERROR(VLOOKUP(F206, [2]MOE!B:C, 2, FALSE), "No")</f>
        <v>No</v>
      </c>
      <c r="Q206" s="711" t="s">
        <v>1004</v>
      </c>
      <c r="S206" s="670" t="s">
        <v>1006</v>
      </c>
      <c r="T206" s="668" t="s">
        <v>1066</v>
      </c>
    </row>
    <row r="207" spans="1:20">
      <c r="A207" s="679">
        <v>2201100</v>
      </c>
      <c r="B207" s="677"/>
      <c r="C207" s="672"/>
      <c r="D207" s="672" t="s">
        <v>777</v>
      </c>
      <c r="E207" s="676" t="s">
        <v>1068</v>
      </c>
      <c r="F207" s="680" t="s">
        <v>1069</v>
      </c>
      <c r="G207" s="710">
        <v>220</v>
      </c>
      <c r="H207" s="682">
        <v>1100</v>
      </c>
      <c r="J207" s="668" t="str">
        <f t="shared" si="30"/>
        <v>FICA</v>
      </c>
      <c r="L207" s="668">
        <v>90</v>
      </c>
      <c r="M207" s="669">
        <v>85</v>
      </c>
      <c r="N207" s="668"/>
      <c r="O207" s="668">
        <v>7</v>
      </c>
      <c r="P207" s="668" t="str">
        <f>IFERROR(VLOOKUP(F207, [2]MOE!B:C, 2, FALSE), "No")</f>
        <v>No</v>
      </c>
      <c r="Q207" s="711" t="s">
        <v>1004</v>
      </c>
      <c r="S207" s="670" t="s">
        <v>1006</v>
      </c>
      <c r="T207" s="668" t="s">
        <v>1068</v>
      </c>
    </row>
    <row r="208" spans="1:20">
      <c r="A208" s="679">
        <v>2251100</v>
      </c>
      <c r="B208" s="677"/>
      <c r="C208" s="672"/>
      <c r="D208" s="672" t="s">
        <v>801</v>
      </c>
      <c r="E208" s="676" t="s">
        <v>23</v>
      </c>
      <c r="F208" s="680" t="s">
        <v>1070</v>
      </c>
      <c r="G208" s="710">
        <v>225</v>
      </c>
      <c r="H208" s="682">
        <v>1100</v>
      </c>
      <c r="J208" s="668" t="str">
        <f t="shared" si="30"/>
        <v>Medicare</v>
      </c>
      <c r="L208" s="668">
        <v>91</v>
      </c>
      <c r="M208" s="669">
        <v>86</v>
      </c>
      <c r="N208" s="668"/>
      <c r="O208" s="668">
        <v>7</v>
      </c>
      <c r="P208" s="668" t="str">
        <f>IFERROR(VLOOKUP(F208, [2]MOE!B:C, 2, FALSE), "No")</f>
        <v>No</v>
      </c>
      <c r="Q208" s="711" t="s">
        <v>1004</v>
      </c>
      <c r="S208" s="670" t="s">
        <v>1006</v>
      </c>
      <c r="T208" s="668" t="s">
        <v>23</v>
      </c>
    </row>
    <row r="209" spans="1:20">
      <c r="A209" s="671"/>
      <c r="B209" s="677"/>
      <c r="C209" s="672"/>
      <c r="D209" s="672" t="s">
        <v>805</v>
      </c>
      <c r="E209" s="676" t="s">
        <v>1071</v>
      </c>
      <c r="F209" s="675"/>
      <c r="G209" s="672"/>
      <c r="H209" s="676"/>
      <c r="Q209" s="711"/>
      <c r="S209" s="670"/>
    </row>
    <row r="210" spans="1:20">
      <c r="A210" s="679">
        <v>2311100</v>
      </c>
      <c r="B210" s="677"/>
      <c r="C210" s="672"/>
      <c r="D210" s="672"/>
      <c r="E210" s="676" t="s">
        <v>1072</v>
      </c>
      <c r="F210" s="680" t="s">
        <v>1073</v>
      </c>
      <c r="G210" s="710">
        <v>231</v>
      </c>
      <c r="H210" s="682">
        <v>1100</v>
      </c>
      <c r="J210" s="668" t="str">
        <f t="shared" ref="J210:J218" si="31">E210</f>
        <v>(1) Louisiana Teachers Retirement</v>
      </c>
      <c r="L210" s="668">
        <v>92</v>
      </c>
      <c r="M210" s="669">
        <v>87</v>
      </c>
      <c r="N210" s="668"/>
      <c r="O210" s="668">
        <v>7</v>
      </c>
      <c r="P210" s="668" t="str">
        <f>IFERROR(VLOOKUP(F210, [2]MOE!B:C, 2, FALSE), "No")</f>
        <v>No</v>
      </c>
      <c r="Q210" s="711" t="s">
        <v>1004</v>
      </c>
      <c r="S210" s="670" t="s">
        <v>1006</v>
      </c>
      <c r="T210" s="668" t="s">
        <v>1074</v>
      </c>
    </row>
    <row r="211" spans="1:20">
      <c r="A211" s="679">
        <v>2331100</v>
      </c>
      <c r="B211" s="677"/>
      <c r="C211" s="672"/>
      <c r="D211" s="672"/>
      <c r="E211" s="676" t="s">
        <v>1075</v>
      </c>
      <c r="F211" s="680" t="s">
        <v>1076</v>
      </c>
      <c r="G211" s="710">
        <v>233</v>
      </c>
      <c r="H211" s="682">
        <v>1100</v>
      </c>
      <c r="J211" s="668" t="str">
        <f t="shared" si="31"/>
        <v>(2) Louisiana School Employees Retirement</v>
      </c>
      <c r="L211" s="668">
        <v>92</v>
      </c>
      <c r="M211" s="669">
        <v>87</v>
      </c>
      <c r="N211" s="668"/>
      <c r="O211" s="668">
        <v>7</v>
      </c>
      <c r="P211" s="668" t="str">
        <f>IFERROR(VLOOKUP(F211, [2]MOE!B:C, 2, FALSE), "No")</f>
        <v>No</v>
      </c>
      <c r="Q211" s="711" t="s">
        <v>1004</v>
      </c>
      <c r="S211" s="670" t="s">
        <v>1006</v>
      </c>
      <c r="T211" s="668" t="s">
        <v>1077</v>
      </c>
    </row>
    <row r="212" spans="1:20">
      <c r="A212" s="679">
        <v>2391100</v>
      </c>
      <c r="B212" s="677"/>
      <c r="C212" s="672"/>
      <c r="D212" s="672"/>
      <c r="E212" s="676" t="s">
        <v>1078</v>
      </c>
      <c r="F212" s="680" t="s">
        <v>1079</v>
      </c>
      <c r="G212" s="710">
        <v>239</v>
      </c>
      <c r="H212" s="682">
        <v>1100</v>
      </c>
      <c r="J212" s="668" t="str">
        <f t="shared" si="31"/>
        <v>(3) Other Retirement</v>
      </c>
      <c r="L212" s="668">
        <v>92</v>
      </c>
      <c r="M212" s="669">
        <v>87</v>
      </c>
      <c r="N212" s="668"/>
      <c r="O212" s="668">
        <v>7</v>
      </c>
      <c r="P212" s="668" t="str">
        <f>IFERROR(VLOOKUP(F212, [2]MOE!B:C, 2, FALSE), "No")</f>
        <v>No</v>
      </c>
      <c r="Q212" s="711" t="s">
        <v>1004</v>
      </c>
      <c r="S212" s="670" t="s">
        <v>1006</v>
      </c>
      <c r="T212" s="668" t="s">
        <v>1080</v>
      </c>
    </row>
    <row r="213" spans="1:20">
      <c r="A213" s="679">
        <v>2501100</v>
      </c>
      <c r="B213" s="677"/>
      <c r="C213" s="672"/>
      <c r="D213" s="672" t="s">
        <v>850</v>
      </c>
      <c r="E213" s="676" t="s">
        <v>1081</v>
      </c>
      <c r="F213" s="680" t="s">
        <v>1082</v>
      </c>
      <c r="G213" s="710">
        <v>250</v>
      </c>
      <c r="H213" s="682">
        <v>1100</v>
      </c>
      <c r="J213" s="668" t="str">
        <f t="shared" si="31"/>
        <v>Unemployment Compensation</v>
      </c>
      <c r="L213" s="668">
        <v>93</v>
      </c>
      <c r="M213" s="669">
        <v>88</v>
      </c>
      <c r="N213" s="668"/>
      <c r="O213" s="668">
        <v>7</v>
      </c>
      <c r="P213" s="668" t="str">
        <f>IFERROR(VLOOKUP(F213, [2]MOE!B:C, 2, FALSE), "No")</f>
        <v>No</v>
      </c>
      <c r="Q213" s="711" t="s">
        <v>1004</v>
      </c>
      <c r="S213" s="670" t="s">
        <v>1006</v>
      </c>
      <c r="T213" s="668" t="s">
        <v>1081</v>
      </c>
    </row>
    <row r="214" spans="1:20">
      <c r="A214" s="679">
        <v>2601100</v>
      </c>
      <c r="B214" s="677"/>
      <c r="C214" s="672"/>
      <c r="D214" s="672" t="s">
        <v>853</v>
      </c>
      <c r="E214" s="676" t="s">
        <v>1083</v>
      </c>
      <c r="F214" s="680" t="s">
        <v>1084</v>
      </c>
      <c r="G214" s="710">
        <v>260</v>
      </c>
      <c r="H214" s="682">
        <v>1100</v>
      </c>
      <c r="J214" s="668" t="str">
        <f t="shared" si="31"/>
        <v>Workmen's Compensation</v>
      </c>
      <c r="L214" s="668">
        <v>95</v>
      </c>
      <c r="M214" s="669">
        <v>90</v>
      </c>
      <c r="N214" s="668"/>
      <c r="O214" s="668">
        <v>7</v>
      </c>
      <c r="P214" s="668" t="str">
        <f>IFERROR(VLOOKUP(F214, [2]MOE!B:C, 2, FALSE), "No")</f>
        <v>No</v>
      </c>
      <c r="Q214" s="711" t="s">
        <v>1004</v>
      </c>
      <c r="S214" s="670" t="s">
        <v>1006</v>
      </c>
      <c r="T214" s="668" t="s">
        <v>1083</v>
      </c>
    </row>
    <row r="215" spans="1:20">
      <c r="A215" s="679">
        <v>2701100</v>
      </c>
      <c r="B215" s="677"/>
      <c r="C215" s="672"/>
      <c r="D215" s="672" t="s">
        <v>856</v>
      </c>
      <c r="E215" s="676" t="s">
        <v>1085</v>
      </c>
      <c r="F215" s="680" t="s">
        <v>1086</v>
      </c>
      <c r="G215" s="710">
        <v>270</v>
      </c>
      <c r="H215" s="682">
        <v>1100</v>
      </c>
      <c r="J215" s="668" t="str">
        <f t="shared" si="31"/>
        <v>Health Benefits (retirees)</v>
      </c>
      <c r="L215" s="668">
        <v>94</v>
      </c>
      <c r="M215" s="669">
        <v>89</v>
      </c>
      <c r="N215" s="668"/>
      <c r="O215" s="668">
        <v>7</v>
      </c>
      <c r="P215" s="668" t="str">
        <f>IFERROR(VLOOKUP(F215, [2]MOE!B:C, 2, FALSE), "No")</f>
        <v>No</v>
      </c>
      <c r="Q215" s="711" t="s">
        <v>1004</v>
      </c>
      <c r="S215" s="670" t="s">
        <v>1006</v>
      </c>
      <c r="T215" s="668" t="s">
        <v>1085</v>
      </c>
    </row>
    <row r="216" spans="1:20">
      <c r="A216" s="679">
        <v>2811100</v>
      </c>
      <c r="B216" s="677"/>
      <c r="C216" s="672"/>
      <c r="D216" s="672" t="s">
        <v>859</v>
      </c>
      <c r="E216" s="676" t="s">
        <v>1087</v>
      </c>
      <c r="F216" s="680" t="s">
        <v>1088</v>
      </c>
      <c r="G216" s="710">
        <v>281</v>
      </c>
      <c r="H216" s="682">
        <v>1100</v>
      </c>
      <c r="J216" s="668" t="str">
        <f t="shared" si="31"/>
        <v>Sick Leave Severance Pay</v>
      </c>
      <c r="L216" s="668">
        <v>95</v>
      </c>
      <c r="M216" s="669">
        <v>90</v>
      </c>
      <c r="N216" s="668"/>
      <c r="O216" s="668">
        <v>7</v>
      </c>
      <c r="P216" s="668" t="str">
        <f>IFERROR(VLOOKUP(F216, [2]MOE!B:C, 2, FALSE), "No")</f>
        <v>No</v>
      </c>
      <c r="Q216" s="711" t="s">
        <v>1004</v>
      </c>
      <c r="S216" s="670" t="s">
        <v>1006</v>
      </c>
      <c r="T216" s="668" t="s">
        <v>1087</v>
      </c>
    </row>
    <row r="217" spans="1:20">
      <c r="A217" s="679">
        <v>2821100</v>
      </c>
      <c r="B217" s="677"/>
      <c r="C217" s="672"/>
      <c r="D217" s="672" t="s">
        <v>862</v>
      </c>
      <c r="E217" s="676" t="s">
        <v>1089</v>
      </c>
      <c r="F217" s="680" t="s">
        <v>1090</v>
      </c>
      <c r="G217" s="710">
        <v>282</v>
      </c>
      <c r="H217" s="682">
        <v>1100</v>
      </c>
      <c r="J217" s="668" t="str">
        <f t="shared" si="31"/>
        <v>Annual Leave Severance Pay</v>
      </c>
      <c r="L217" s="668">
        <v>95</v>
      </c>
      <c r="M217" s="669">
        <v>90</v>
      </c>
      <c r="N217" s="668"/>
      <c r="O217" s="668">
        <v>7</v>
      </c>
      <c r="P217" s="668" t="str">
        <f>IFERROR(VLOOKUP(F217, [2]MOE!B:C, 2, FALSE), "No")</f>
        <v>No</v>
      </c>
      <c r="Q217" s="711" t="s">
        <v>1004</v>
      </c>
      <c r="S217" s="670" t="s">
        <v>1006</v>
      </c>
      <c r="T217" s="668" t="s">
        <v>1089</v>
      </c>
    </row>
    <row r="218" spans="1:20" ht="16" thickBot="1">
      <c r="A218" s="679">
        <v>2901100</v>
      </c>
      <c r="B218" s="716"/>
      <c r="C218" s="672"/>
      <c r="D218" s="672" t="s">
        <v>1091</v>
      </c>
      <c r="E218" s="676" t="s">
        <v>1092</v>
      </c>
      <c r="F218" s="680" t="s">
        <v>1093</v>
      </c>
      <c r="G218" s="710">
        <v>290</v>
      </c>
      <c r="H218" s="682">
        <v>1100</v>
      </c>
      <c r="J218" s="668" t="str">
        <f t="shared" si="31"/>
        <v>Other Employee Benefits</v>
      </c>
      <c r="L218" s="668">
        <v>95</v>
      </c>
      <c r="M218" s="669">
        <v>90</v>
      </c>
      <c r="N218" s="668"/>
      <c r="O218" s="668">
        <v>7</v>
      </c>
      <c r="P218" s="668" t="str">
        <f>IFERROR(VLOOKUP(F218, [2]MOE!B:C, 2, FALSE), "No")</f>
        <v>No</v>
      </c>
      <c r="Q218" s="711" t="s">
        <v>1004</v>
      </c>
      <c r="S218" s="670" t="s">
        <v>1006</v>
      </c>
      <c r="T218" s="668" t="s">
        <v>1092</v>
      </c>
    </row>
    <row r="219" spans="1:20" ht="16.5" thickTop="1" thickBot="1">
      <c r="A219" s="671"/>
      <c r="B219" s="663"/>
      <c r="C219" s="929" t="s">
        <v>1094</v>
      </c>
      <c r="D219" s="930"/>
      <c r="E219" s="932"/>
      <c r="F219" s="705" t="s">
        <v>620</v>
      </c>
      <c r="G219" s="706"/>
      <c r="H219" s="707"/>
      <c r="Q219" s="711"/>
      <c r="S219" s="670"/>
    </row>
    <row r="220" spans="1:20" ht="16" thickTop="1">
      <c r="A220" s="671"/>
      <c r="B220" s="672"/>
      <c r="C220" s="672"/>
      <c r="D220" s="672"/>
      <c r="E220" s="676"/>
      <c r="F220" s="675"/>
      <c r="G220" s="672"/>
      <c r="H220" s="676"/>
      <c r="Q220" s="711"/>
      <c r="S220" s="670"/>
    </row>
    <row r="221" spans="1:20">
      <c r="A221" s="671"/>
      <c r="B221" s="677" t="s">
        <v>1095</v>
      </c>
      <c r="C221" s="921" t="s">
        <v>681</v>
      </c>
      <c r="D221" s="795"/>
      <c r="E221" s="926"/>
      <c r="F221" s="675"/>
      <c r="G221" s="672"/>
      <c r="H221" s="676"/>
      <c r="Q221" s="711"/>
      <c r="S221" s="670"/>
    </row>
    <row r="222" spans="1:20">
      <c r="A222" s="671"/>
      <c r="B222" s="677"/>
      <c r="C222" s="678">
        <v>9</v>
      </c>
      <c r="D222" s="927" t="s">
        <v>1096</v>
      </c>
      <c r="E222" s="926"/>
      <c r="F222" s="675"/>
      <c r="G222" s="672"/>
      <c r="H222" s="676"/>
      <c r="Q222" s="711"/>
      <c r="S222" s="670"/>
    </row>
    <row r="223" spans="1:20">
      <c r="A223" s="671"/>
      <c r="B223" s="677"/>
      <c r="C223" s="672"/>
      <c r="D223" s="927" t="s">
        <v>1097</v>
      </c>
      <c r="E223" s="926"/>
      <c r="F223" s="675"/>
      <c r="G223" s="672"/>
      <c r="H223" s="676"/>
      <c r="Q223" s="711"/>
      <c r="S223" s="670"/>
    </row>
    <row r="224" spans="1:20">
      <c r="A224" s="671"/>
      <c r="B224" s="677"/>
      <c r="C224" s="672"/>
      <c r="D224" s="672" t="s">
        <v>759</v>
      </c>
      <c r="E224" s="676" t="s">
        <v>244</v>
      </c>
      <c r="F224" s="675"/>
      <c r="G224" s="672"/>
      <c r="H224" s="676"/>
      <c r="Q224" s="711"/>
      <c r="S224" s="670"/>
    </row>
    <row r="225" spans="1:20">
      <c r="A225" s="679">
        <v>1121210</v>
      </c>
      <c r="B225" s="677"/>
      <c r="C225" s="672"/>
      <c r="D225" s="672"/>
      <c r="E225" s="676" t="s">
        <v>1098</v>
      </c>
      <c r="F225" s="680" t="s">
        <v>1099</v>
      </c>
      <c r="G225" s="710">
        <v>112</v>
      </c>
      <c r="H225" s="682">
        <v>1210</v>
      </c>
      <c r="J225" s="668" t="str">
        <f t="shared" ref="J225:J231" si="32">E225</f>
        <v>(1) Teachers</v>
      </c>
      <c r="L225" s="668">
        <v>82</v>
      </c>
      <c r="M225" s="669">
        <v>77</v>
      </c>
      <c r="N225" s="668"/>
      <c r="O225" s="668">
        <v>8</v>
      </c>
      <c r="P225" s="668" t="str">
        <f>IFERROR(VLOOKUP(F225, [2]MOE!B:C, 2, FALSE), "No")</f>
        <v>YES</v>
      </c>
      <c r="Q225" s="711" t="s">
        <v>1004</v>
      </c>
      <c r="S225" s="670" t="s">
        <v>4</v>
      </c>
      <c r="T225" s="668" t="s">
        <v>5</v>
      </c>
    </row>
    <row r="226" spans="1:20">
      <c r="A226" s="679">
        <v>1151210</v>
      </c>
      <c r="B226" s="677"/>
      <c r="C226" s="672"/>
      <c r="D226" s="672"/>
      <c r="E226" s="676" t="s">
        <v>1100</v>
      </c>
      <c r="F226" s="680" t="s">
        <v>1101</v>
      </c>
      <c r="G226" s="710">
        <v>115</v>
      </c>
      <c r="H226" s="682">
        <v>1210</v>
      </c>
      <c r="J226" s="668" t="str">
        <f t="shared" si="32"/>
        <v>(2) Para-professionals (Aides)</v>
      </c>
      <c r="L226" s="668">
        <v>86</v>
      </c>
      <c r="M226" s="669">
        <v>81</v>
      </c>
      <c r="N226" s="668"/>
      <c r="O226" s="668">
        <v>8</v>
      </c>
      <c r="P226" s="668" t="str">
        <f>IFERROR(VLOOKUP(F226, [2]MOE!B:C, 2, FALSE), "No")</f>
        <v>YES</v>
      </c>
      <c r="Q226" s="711" t="s">
        <v>1004</v>
      </c>
      <c r="S226" s="670" t="s">
        <v>4</v>
      </c>
      <c r="T226" s="668" t="s">
        <v>1102</v>
      </c>
    </row>
    <row r="227" spans="1:20">
      <c r="A227" s="679">
        <v>1231210</v>
      </c>
      <c r="B227" s="677"/>
      <c r="C227" s="672"/>
      <c r="D227" s="672"/>
      <c r="E227" s="676" t="s">
        <v>1103</v>
      </c>
      <c r="F227" s="680" t="s">
        <v>1104</v>
      </c>
      <c r="G227" s="710">
        <v>123</v>
      </c>
      <c r="H227" s="682">
        <v>1210</v>
      </c>
      <c r="J227" s="668" t="str">
        <f t="shared" si="32"/>
        <v>(3) Substitute Teachers</v>
      </c>
      <c r="L227" s="668">
        <v>86</v>
      </c>
      <c r="M227" s="669">
        <v>81</v>
      </c>
      <c r="N227" s="668"/>
      <c r="O227" s="668">
        <v>8</v>
      </c>
      <c r="P227" s="668" t="str">
        <f>IFERROR(VLOOKUP(F227, [2]MOE!B:C, 2, FALSE), "No")</f>
        <v>YES</v>
      </c>
      <c r="Q227" s="711" t="s">
        <v>1004</v>
      </c>
      <c r="S227" s="670" t="s">
        <v>4</v>
      </c>
      <c r="T227" s="668" t="s">
        <v>1105</v>
      </c>
    </row>
    <row r="228" spans="1:20">
      <c r="A228" s="679">
        <v>1201210</v>
      </c>
      <c r="B228" s="677"/>
      <c r="C228" s="672"/>
      <c r="D228" s="672"/>
      <c r="E228" s="676" t="s">
        <v>1106</v>
      </c>
      <c r="F228" s="680" t="s">
        <v>1107</v>
      </c>
      <c r="G228" s="710">
        <v>120</v>
      </c>
      <c r="H228" s="682">
        <v>1210</v>
      </c>
      <c r="J228" s="668" t="str">
        <f t="shared" si="32"/>
        <v>(4) Other Substitute/Temp. Employees</v>
      </c>
      <c r="L228" s="668">
        <v>86</v>
      </c>
      <c r="M228" s="669">
        <v>81</v>
      </c>
      <c r="N228" s="668"/>
      <c r="O228" s="668">
        <v>8</v>
      </c>
      <c r="P228" s="668" t="str">
        <f>IFERROR(VLOOKUP(F228, [2]MOE!B:C, 2, FALSE), "No")</f>
        <v>YES</v>
      </c>
      <c r="Q228" s="711" t="s">
        <v>1004</v>
      </c>
      <c r="S228" s="670" t="s">
        <v>4</v>
      </c>
      <c r="T228" s="668" t="s">
        <v>1108</v>
      </c>
    </row>
    <row r="229" spans="1:20">
      <c r="A229" s="679">
        <v>1001210</v>
      </c>
      <c r="B229" s="677"/>
      <c r="C229" s="672"/>
      <c r="D229" s="672"/>
      <c r="E229" s="676" t="s">
        <v>1109</v>
      </c>
      <c r="F229" s="680" t="s">
        <v>1110</v>
      </c>
      <c r="G229" s="710">
        <v>100</v>
      </c>
      <c r="H229" s="682">
        <v>1210</v>
      </c>
      <c r="J229" s="668" t="str">
        <f t="shared" si="32"/>
        <v>(5) Other Instructional Salaries</v>
      </c>
      <c r="L229" s="668">
        <v>86</v>
      </c>
      <c r="M229" s="669">
        <v>81</v>
      </c>
      <c r="N229" s="668"/>
      <c r="O229" s="668">
        <v>8</v>
      </c>
      <c r="P229" s="668" t="str">
        <f>IFERROR(VLOOKUP(F229, [2]MOE!B:C, 2, FALSE), "No")</f>
        <v>YES</v>
      </c>
      <c r="Q229" s="711" t="s">
        <v>1004</v>
      </c>
      <c r="S229" s="670" t="s">
        <v>4</v>
      </c>
      <c r="T229" s="668" t="s">
        <v>1017</v>
      </c>
    </row>
    <row r="230" spans="1:20">
      <c r="A230" s="679">
        <v>1401210</v>
      </c>
      <c r="B230" s="677"/>
      <c r="C230" s="672"/>
      <c r="D230" s="672"/>
      <c r="E230" s="676" t="s">
        <v>1111</v>
      </c>
      <c r="F230" s="680" t="s">
        <v>1112</v>
      </c>
      <c r="G230" s="710">
        <v>140</v>
      </c>
      <c r="H230" s="682">
        <v>1210</v>
      </c>
      <c r="J230" s="668" t="str">
        <f t="shared" si="32"/>
        <v>(6) Sabbatical Leave</v>
      </c>
      <c r="L230" s="668">
        <v>86</v>
      </c>
      <c r="M230" s="669">
        <v>81</v>
      </c>
      <c r="N230" s="668"/>
      <c r="O230" s="668">
        <v>8</v>
      </c>
      <c r="P230" s="668" t="str">
        <f>IFERROR(VLOOKUP(F230, [2]MOE!B:C, 2, FALSE), "No")</f>
        <v>YES</v>
      </c>
      <c r="Q230" s="711" t="s">
        <v>1004</v>
      </c>
      <c r="S230" s="670" t="s">
        <v>4</v>
      </c>
      <c r="T230" s="668" t="s">
        <v>1019</v>
      </c>
    </row>
    <row r="231" spans="1:20">
      <c r="A231" s="679">
        <v>3001210</v>
      </c>
      <c r="B231" s="677"/>
      <c r="C231" s="672"/>
      <c r="D231" s="672" t="s">
        <v>777</v>
      </c>
      <c r="E231" s="676" t="s">
        <v>1113</v>
      </c>
      <c r="F231" s="680" t="s">
        <v>1114</v>
      </c>
      <c r="G231" s="710">
        <v>300</v>
      </c>
      <c r="H231" s="682">
        <v>1210</v>
      </c>
      <c r="J231" s="668" t="str">
        <f t="shared" si="32"/>
        <v>Purchased Professional and Technical Svcs</v>
      </c>
      <c r="L231" s="668">
        <v>101</v>
      </c>
      <c r="M231" s="669">
        <v>96</v>
      </c>
      <c r="N231" s="668"/>
      <c r="O231" s="668">
        <v>8</v>
      </c>
      <c r="P231" s="668" t="str">
        <f>IFERROR(VLOOKUP(F231, [2]MOE!B:C, 2, FALSE), "No")</f>
        <v>YES</v>
      </c>
      <c r="Q231" s="711"/>
      <c r="S231" s="670" t="s">
        <v>4</v>
      </c>
      <c r="T231" s="668" t="s">
        <v>1113</v>
      </c>
    </row>
    <row r="232" spans="1:20">
      <c r="A232" s="671"/>
      <c r="B232" s="677"/>
      <c r="C232" s="672"/>
      <c r="D232" s="672" t="s">
        <v>801</v>
      </c>
      <c r="E232" s="676" t="s">
        <v>250</v>
      </c>
      <c r="F232" s="675"/>
      <c r="G232" s="672"/>
      <c r="H232" s="676"/>
      <c r="Q232" s="711"/>
      <c r="S232" s="670"/>
    </row>
    <row r="233" spans="1:20">
      <c r="A233" s="679">
        <v>4301210</v>
      </c>
      <c r="B233" s="677"/>
      <c r="C233" s="672"/>
      <c r="D233" s="672"/>
      <c r="E233" s="676" t="s">
        <v>1115</v>
      </c>
      <c r="F233" s="680" t="s">
        <v>1116</v>
      </c>
      <c r="G233" s="710">
        <v>430</v>
      </c>
      <c r="H233" s="682">
        <v>1210</v>
      </c>
      <c r="J233" s="668" t="str">
        <f t="shared" ref="J233:J235" si="33">E233</f>
        <v>(1) Repairs and Maintenance Services</v>
      </c>
      <c r="L233" s="668">
        <v>107</v>
      </c>
      <c r="M233" s="669">
        <v>102</v>
      </c>
      <c r="N233" s="668"/>
      <c r="O233" s="668">
        <v>8</v>
      </c>
      <c r="P233" s="668" t="str">
        <f>IFERROR(VLOOKUP(F233, [2]MOE!B:C, 2, FALSE), "No")</f>
        <v>YES</v>
      </c>
      <c r="Q233" s="711"/>
      <c r="S233" s="670" t="s">
        <v>4</v>
      </c>
      <c r="T233" s="668" t="s">
        <v>1023</v>
      </c>
    </row>
    <row r="234" spans="1:20">
      <c r="A234" s="679">
        <v>4421210</v>
      </c>
      <c r="B234" s="677"/>
      <c r="C234" s="672"/>
      <c r="D234" s="672"/>
      <c r="E234" s="676" t="s">
        <v>1117</v>
      </c>
      <c r="F234" s="680" t="s">
        <v>1118</v>
      </c>
      <c r="G234" s="710">
        <v>442</v>
      </c>
      <c r="H234" s="682">
        <v>1210</v>
      </c>
      <c r="J234" s="668" t="str">
        <f t="shared" si="33"/>
        <v>(2) Rental of Equipment</v>
      </c>
      <c r="L234" s="668">
        <v>106</v>
      </c>
      <c r="M234" s="669">
        <v>101</v>
      </c>
      <c r="N234" s="668"/>
      <c r="O234" s="668">
        <v>8</v>
      </c>
      <c r="P234" s="668" t="str">
        <f>IFERROR(VLOOKUP(F234, [2]MOE!B:C, 2, FALSE), "No")</f>
        <v>YES</v>
      </c>
      <c r="Q234" s="711"/>
      <c r="S234" s="670" t="s">
        <v>4</v>
      </c>
      <c r="T234" s="668" t="s">
        <v>1025</v>
      </c>
    </row>
    <row r="235" spans="1:20">
      <c r="A235" s="679">
        <v>4001210</v>
      </c>
      <c r="B235" s="677"/>
      <c r="C235" s="672"/>
      <c r="D235" s="672"/>
      <c r="E235" s="676" t="s">
        <v>1119</v>
      </c>
      <c r="F235" s="680" t="s">
        <v>1120</v>
      </c>
      <c r="G235" s="710">
        <v>400</v>
      </c>
      <c r="H235" s="682">
        <v>1210</v>
      </c>
      <c r="J235" s="668" t="str">
        <f t="shared" si="33"/>
        <v>(3) Other Purchased Property Services</v>
      </c>
      <c r="L235" s="668">
        <v>108</v>
      </c>
      <c r="M235" s="669">
        <v>103</v>
      </c>
      <c r="N235" s="668"/>
      <c r="O235" s="668">
        <v>8</v>
      </c>
      <c r="P235" s="668" t="str">
        <f>IFERROR(VLOOKUP(F235, [2]MOE!B:C, 2, FALSE), "No")</f>
        <v>YES</v>
      </c>
      <c r="Q235" s="711"/>
      <c r="S235" s="670" t="s">
        <v>4</v>
      </c>
      <c r="T235" s="668" t="s">
        <v>1027</v>
      </c>
    </row>
    <row r="236" spans="1:20">
      <c r="A236" s="671"/>
      <c r="B236" s="677"/>
      <c r="C236" s="672"/>
      <c r="D236" s="672" t="s">
        <v>805</v>
      </c>
      <c r="E236" s="676" t="s">
        <v>252</v>
      </c>
      <c r="F236" s="675"/>
      <c r="G236" s="672"/>
      <c r="H236" s="676"/>
      <c r="Q236" s="711"/>
      <c r="S236" s="670"/>
    </row>
    <row r="237" spans="1:20">
      <c r="A237" s="671"/>
      <c r="B237" s="677"/>
      <c r="C237" s="672"/>
      <c r="D237" s="672"/>
      <c r="E237" s="676" t="s">
        <v>1121</v>
      </c>
      <c r="F237" s="675"/>
      <c r="G237" s="672"/>
      <c r="H237" s="676"/>
      <c r="Q237" s="711"/>
      <c r="S237" s="670"/>
    </row>
    <row r="238" spans="1:20">
      <c r="A238" s="679">
        <v>5611210</v>
      </c>
      <c r="B238" s="677"/>
      <c r="C238" s="672"/>
      <c r="D238" s="672"/>
      <c r="E238" s="676" t="s">
        <v>1122</v>
      </c>
      <c r="F238" s="680" t="s">
        <v>1123</v>
      </c>
      <c r="G238" s="710">
        <v>561</v>
      </c>
      <c r="H238" s="682">
        <v>1210</v>
      </c>
      <c r="J238" s="668" t="str">
        <f t="shared" ref="J238:J244" si="34">E238</f>
        <v>(a) Paid to Other LEA (In-State)</v>
      </c>
      <c r="L238" s="668">
        <v>119</v>
      </c>
      <c r="M238" s="669">
        <v>110</v>
      </c>
      <c r="N238" s="668"/>
      <c r="O238" s="668">
        <v>8</v>
      </c>
      <c r="P238" s="668" t="str">
        <f>IFERROR(VLOOKUP(F238, [2]MOE!B:C, 2, FALSE), "No")</f>
        <v>YES</v>
      </c>
      <c r="Q238" s="711"/>
      <c r="S238" s="670" t="s">
        <v>4</v>
      </c>
      <c r="T238" s="668" t="s">
        <v>1032</v>
      </c>
    </row>
    <row r="239" spans="1:20">
      <c r="A239" s="679">
        <v>5621210</v>
      </c>
      <c r="B239" s="677"/>
      <c r="C239" s="672"/>
      <c r="D239" s="672"/>
      <c r="E239" s="676" t="s">
        <v>1124</v>
      </c>
      <c r="F239" s="680" t="s">
        <v>1125</v>
      </c>
      <c r="G239" s="710">
        <v>562</v>
      </c>
      <c r="H239" s="682">
        <v>1210</v>
      </c>
      <c r="J239" s="668" t="str">
        <f t="shared" si="34"/>
        <v>(b) Paid to Other LEA (Out-of-State)</v>
      </c>
      <c r="L239" s="668">
        <v>119</v>
      </c>
      <c r="M239" s="669">
        <v>110</v>
      </c>
      <c r="N239" s="668"/>
      <c r="O239" s="668">
        <v>8</v>
      </c>
      <c r="P239" s="668" t="str">
        <f>IFERROR(VLOOKUP(F239, [2]MOE!B:C, 2, FALSE), "No")</f>
        <v>YES</v>
      </c>
      <c r="Q239" s="711"/>
      <c r="S239" s="670" t="s">
        <v>4</v>
      </c>
      <c r="T239" s="668" t="s">
        <v>1035</v>
      </c>
    </row>
    <row r="240" spans="1:20">
      <c r="A240" s="679">
        <v>5631210</v>
      </c>
      <c r="B240" s="677"/>
      <c r="C240" s="672"/>
      <c r="D240" s="672"/>
      <c r="E240" s="676" t="s">
        <v>1126</v>
      </c>
      <c r="F240" s="680" t="s">
        <v>1127</v>
      </c>
      <c r="G240" s="710">
        <v>563</v>
      </c>
      <c r="H240" s="682">
        <v>1210</v>
      </c>
      <c r="J240" s="668" t="str">
        <f t="shared" si="34"/>
        <v>(c) Paid to Non-Public Schools - Vouchers</v>
      </c>
      <c r="L240" s="668">
        <v>119</v>
      </c>
      <c r="M240" s="669">
        <v>110</v>
      </c>
      <c r="N240" s="668"/>
      <c r="O240" s="668">
        <v>8</v>
      </c>
      <c r="P240" s="668" t="str">
        <f>IFERROR(VLOOKUP(F240, [2]MOE!B:C, 2, FALSE), "No")</f>
        <v>YES</v>
      </c>
      <c r="Q240" s="711"/>
      <c r="S240" s="670" t="s">
        <v>4</v>
      </c>
      <c r="T240" s="668" t="s">
        <v>1128</v>
      </c>
    </row>
    <row r="241" spans="1:20">
      <c r="A241" s="679">
        <v>5661210</v>
      </c>
      <c r="B241" s="677"/>
      <c r="C241" s="672"/>
      <c r="D241" s="672"/>
      <c r="E241" s="676" t="s">
        <v>1129</v>
      </c>
      <c r="F241" s="680" t="s">
        <v>1130</v>
      </c>
      <c r="G241" s="710">
        <v>566</v>
      </c>
      <c r="H241" s="682">
        <v>1210</v>
      </c>
      <c r="J241" s="668" t="str">
        <f t="shared" si="34"/>
        <v>(d) Paid To Charter Schools - Vouchers</v>
      </c>
      <c r="L241" s="668">
        <v>119</v>
      </c>
      <c r="M241" s="669">
        <v>110</v>
      </c>
      <c r="N241" s="668"/>
      <c r="O241" s="668">
        <v>8</v>
      </c>
      <c r="P241" s="668" t="str">
        <f>IFERROR(VLOOKUP(F241, [2]MOE!B:C, 2, FALSE), "No")</f>
        <v>No</v>
      </c>
      <c r="Q241" s="711"/>
      <c r="S241" s="670" t="s">
        <v>4</v>
      </c>
      <c r="T241" s="668" t="s">
        <v>1131</v>
      </c>
    </row>
    <row r="242" spans="1:20">
      <c r="A242" s="679">
        <v>5671210</v>
      </c>
      <c r="B242" s="677"/>
      <c r="C242" s="672"/>
      <c r="D242" s="672"/>
      <c r="E242" s="676" t="s">
        <v>1132</v>
      </c>
      <c r="F242" s="680" t="s">
        <v>1133</v>
      </c>
      <c r="G242" s="710">
        <v>567</v>
      </c>
      <c r="H242" s="682">
        <v>1210</v>
      </c>
      <c r="J242" s="668" t="str">
        <f t="shared" si="34"/>
        <v>(e) Paid To School Districts - Vouchers</v>
      </c>
      <c r="L242" s="668">
        <v>119</v>
      </c>
      <c r="M242" s="669">
        <v>110</v>
      </c>
      <c r="N242" s="668"/>
      <c r="O242" s="668">
        <v>8</v>
      </c>
      <c r="P242" s="668" t="str">
        <f>IFERROR(VLOOKUP(F242, [2]MOE!B:C, 2, FALSE), "No")</f>
        <v>No</v>
      </c>
      <c r="Q242" s="711"/>
      <c r="S242" s="670" t="s">
        <v>4</v>
      </c>
      <c r="T242" s="668" t="s">
        <v>1134</v>
      </c>
    </row>
    <row r="243" spans="1:20">
      <c r="A243" s="679">
        <v>5821210</v>
      </c>
      <c r="B243" s="677"/>
      <c r="C243" s="672"/>
      <c r="D243" s="672"/>
      <c r="E243" s="676" t="s">
        <v>1135</v>
      </c>
      <c r="F243" s="680" t="s">
        <v>1136</v>
      </c>
      <c r="G243" s="710">
        <v>582</v>
      </c>
      <c r="H243" s="682">
        <v>1210</v>
      </c>
      <c r="J243" s="668" t="str">
        <f t="shared" si="34"/>
        <v>(2) Travel Expense Reimbursement</v>
      </c>
      <c r="L243" s="668">
        <v>118</v>
      </c>
      <c r="M243" s="669">
        <v>109</v>
      </c>
      <c r="N243" s="668"/>
      <c r="O243" s="668">
        <v>8</v>
      </c>
      <c r="P243" s="668" t="str">
        <f>IFERROR(VLOOKUP(F243, [2]MOE!B:C, 2, FALSE), "No")</f>
        <v>YES</v>
      </c>
      <c r="Q243" s="711"/>
      <c r="S243" s="670" t="s">
        <v>4</v>
      </c>
      <c r="T243" s="668" t="s">
        <v>1039</v>
      </c>
    </row>
    <row r="244" spans="1:20">
      <c r="A244" s="679">
        <v>5001210</v>
      </c>
      <c r="B244" s="677"/>
      <c r="C244" s="672"/>
      <c r="D244" s="672"/>
      <c r="E244" s="676" t="s">
        <v>1137</v>
      </c>
      <c r="F244" s="683" t="s">
        <v>1138</v>
      </c>
      <c r="G244" s="678">
        <v>500</v>
      </c>
      <c r="H244" s="684">
        <v>1210</v>
      </c>
      <c r="J244" s="668" t="str">
        <f t="shared" si="34"/>
        <v>(3) Other Purchased Services</v>
      </c>
      <c r="L244" s="668">
        <v>119</v>
      </c>
      <c r="M244" s="669">
        <v>110</v>
      </c>
      <c r="N244" s="668"/>
      <c r="O244" s="668">
        <v>8</v>
      </c>
      <c r="P244" s="668" t="str">
        <f>IFERROR(VLOOKUP(F244, [2]MOE!B:C, 2, FALSE), "No")</f>
        <v>YES</v>
      </c>
      <c r="Q244" s="711"/>
      <c r="S244" s="670" t="s">
        <v>4</v>
      </c>
      <c r="T244" s="668" t="s">
        <v>252</v>
      </c>
    </row>
    <row r="245" spans="1:20">
      <c r="A245" s="671"/>
      <c r="B245" s="677"/>
      <c r="C245" s="672"/>
      <c r="D245" s="672" t="s">
        <v>850</v>
      </c>
      <c r="E245" s="676" t="s">
        <v>1042</v>
      </c>
      <c r="F245" s="675"/>
      <c r="G245" s="672"/>
      <c r="H245" s="676"/>
      <c r="Q245" s="711"/>
      <c r="S245" s="670"/>
    </row>
    <row r="246" spans="1:20">
      <c r="A246" s="679">
        <v>6151210</v>
      </c>
      <c r="B246" s="677"/>
      <c r="C246" s="672"/>
      <c r="D246" s="672"/>
      <c r="E246" s="717" t="s">
        <v>1139</v>
      </c>
      <c r="F246" s="680" t="s">
        <v>1140</v>
      </c>
      <c r="G246" s="710">
        <v>615</v>
      </c>
      <c r="H246" s="682">
        <v>1210</v>
      </c>
      <c r="J246" s="668" t="str">
        <f t="shared" ref="J246:J249" si="35">E246</f>
        <v>(1) Technology-Related Supplies</v>
      </c>
      <c r="L246" s="668">
        <v>126</v>
      </c>
      <c r="M246" s="669">
        <v>117</v>
      </c>
      <c r="N246" s="668"/>
      <c r="O246" s="668">
        <v>8</v>
      </c>
      <c r="P246" s="668" t="str">
        <f>IFERROR(VLOOKUP(F246, [2]MOE!B:C, 2, FALSE), "No")</f>
        <v>YES</v>
      </c>
      <c r="Q246" s="711" t="s">
        <v>1045</v>
      </c>
      <c r="S246" s="670" t="s">
        <v>4</v>
      </c>
      <c r="T246" s="668" t="s">
        <v>1043</v>
      </c>
    </row>
    <row r="247" spans="1:20">
      <c r="A247" s="679">
        <v>6101210</v>
      </c>
      <c r="B247" s="677"/>
      <c r="C247" s="672"/>
      <c r="D247" s="672"/>
      <c r="E247" s="718" t="s">
        <v>1141</v>
      </c>
      <c r="F247" s="680" t="s">
        <v>1142</v>
      </c>
      <c r="G247" s="710">
        <v>610</v>
      </c>
      <c r="H247" s="682">
        <v>1210</v>
      </c>
      <c r="J247" s="668" t="str">
        <f t="shared" si="35"/>
        <v>(2) Materials and Supplies</v>
      </c>
      <c r="L247" s="668">
        <v>122</v>
      </c>
      <c r="M247" s="669">
        <v>113</v>
      </c>
      <c r="N247" s="668"/>
      <c r="O247" s="668">
        <v>8</v>
      </c>
      <c r="P247" s="668" t="str">
        <f>IFERROR(VLOOKUP(F247, [2]MOE!B:C, 2, FALSE), "No")</f>
        <v>YES</v>
      </c>
      <c r="Q247" s="711" t="s">
        <v>1045</v>
      </c>
      <c r="S247" s="670" t="s">
        <v>4</v>
      </c>
      <c r="T247" s="668" t="s">
        <v>39</v>
      </c>
    </row>
    <row r="248" spans="1:20">
      <c r="A248" s="679">
        <v>6421210</v>
      </c>
      <c r="B248" s="677"/>
      <c r="C248" s="672"/>
      <c r="D248" s="672"/>
      <c r="E248" s="718" t="s">
        <v>1143</v>
      </c>
      <c r="F248" s="680" t="s">
        <v>1144</v>
      </c>
      <c r="G248" s="710">
        <v>642</v>
      </c>
      <c r="H248" s="682">
        <v>1210</v>
      </c>
      <c r="J248" s="668" t="str">
        <f t="shared" si="35"/>
        <v>(3) Textbooks/Workbooks</v>
      </c>
      <c r="L248" s="668">
        <v>125</v>
      </c>
      <c r="M248" s="669">
        <v>116</v>
      </c>
      <c r="N248" s="668"/>
      <c r="O248" s="668">
        <v>8</v>
      </c>
      <c r="P248" s="668" t="str">
        <f>IFERROR(VLOOKUP(F248, [2]MOE!B:C, 2, FALSE), "No")</f>
        <v>YES</v>
      </c>
      <c r="Q248" s="711" t="s">
        <v>1045</v>
      </c>
      <c r="S248" s="670" t="s">
        <v>4</v>
      </c>
      <c r="T248" s="668" t="s">
        <v>1048</v>
      </c>
    </row>
    <row r="249" spans="1:20">
      <c r="A249" s="679">
        <v>6001210</v>
      </c>
      <c r="B249" s="677"/>
      <c r="C249" s="672"/>
      <c r="D249" s="672"/>
      <c r="E249" s="718" t="s">
        <v>1145</v>
      </c>
      <c r="F249" s="680" t="s">
        <v>1146</v>
      </c>
      <c r="G249" s="710">
        <v>600</v>
      </c>
      <c r="H249" s="682">
        <v>1210</v>
      </c>
      <c r="J249" s="668" t="str">
        <f t="shared" si="35"/>
        <v>(4) Other Supplies</v>
      </c>
      <c r="L249" s="668">
        <v>126</v>
      </c>
      <c r="M249" s="669">
        <v>117</v>
      </c>
      <c r="N249" s="668"/>
      <c r="O249" s="668">
        <v>8</v>
      </c>
      <c r="P249" s="668" t="str">
        <f>IFERROR(VLOOKUP(F249, [2]MOE!B:C, 2, FALSE), "No")</f>
        <v>YES</v>
      </c>
      <c r="Q249" s="711"/>
      <c r="S249" s="670" t="s">
        <v>4</v>
      </c>
      <c r="T249" s="668" t="s">
        <v>1050</v>
      </c>
    </row>
    <row r="250" spans="1:20">
      <c r="A250" s="671"/>
      <c r="B250" s="677"/>
      <c r="C250" s="672"/>
      <c r="D250" s="672" t="s">
        <v>853</v>
      </c>
      <c r="E250" s="676" t="s">
        <v>1052</v>
      </c>
      <c r="F250" s="675"/>
      <c r="G250" s="672"/>
      <c r="H250" s="676"/>
      <c r="Q250" s="711"/>
      <c r="S250" s="670"/>
    </row>
    <row r="251" spans="1:20">
      <c r="A251" s="679">
        <v>7341210</v>
      </c>
      <c r="B251" s="677"/>
      <c r="C251" s="672"/>
      <c r="D251" s="672"/>
      <c r="E251" s="676" t="s">
        <v>1147</v>
      </c>
      <c r="F251" s="680" t="s">
        <v>1148</v>
      </c>
      <c r="G251" s="710">
        <v>734</v>
      </c>
      <c r="H251" s="682">
        <v>1210</v>
      </c>
      <c r="J251" s="668" t="str">
        <f t="shared" ref="J251:J254" si="36">E251</f>
        <v>(1) Technology-Related Hardware</v>
      </c>
      <c r="L251" s="668">
        <v>131</v>
      </c>
      <c r="M251" s="669">
        <v>122</v>
      </c>
      <c r="N251" s="668"/>
      <c r="O251" s="668">
        <v>8</v>
      </c>
      <c r="P251" s="668" t="str">
        <f>IFERROR(VLOOKUP(F251, [2]MOE!B:C, 2, FALSE), "No")</f>
        <v>No</v>
      </c>
      <c r="Q251" s="711"/>
      <c r="S251" s="670" t="s">
        <v>4</v>
      </c>
      <c r="T251" s="668" t="s">
        <v>1053</v>
      </c>
    </row>
    <row r="252" spans="1:20">
      <c r="A252" s="679">
        <v>7351210</v>
      </c>
      <c r="B252" s="677"/>
      <c r="C252" s="672"/>
      <c r="D252" s="672"/>
      <c r="E252" s="676" t="s">
        <v>1149</v>
      </c>
      <c r="F252" s="680" t="s">
        <v>1150</v>
      </c>
      <c r="G252" s="710">
        <v>735</v>
      </c>
      <c r="H252" s="682">
        <v>1210</v>
      </c>
      <c r="J252" s="668" t="str">
        <f t="shared" si="36"/>
        <v>(2) Technology Software</v>
      </c>
      <c r="L252" s="668">
        <v>131</v>
      </c>
      <c r="M252" s="669">
        <v>122</v>
      </c>
      <c r="N252" s="668"/>
      <c r="O252" s="668">
        <v>8</v>
      </c>
      <c r="P252" s="668" t="str">
        <f>IFERROR(VLOOKUP(F252, [2]MOE!B:C, 2, FALSE), "No")</f>
        <v>No</v>
      </c>
      <c r="Q252" s="711"/>
      <c r="S252" s="670" t="s">
        <v>4</v>
      </c>
      <c r="T252" s="668" t="s">
        <v>1055</v>
      </c>
    </row>
    <row r="253" spans="1:20">
      <c r="A253" s="679">
        <v>7301210</v>
      </c>
      <c r="B253" s="677"/>
      <c r="C253" s="672"/>
      <c r="D253" s="672"/>
      <c r="E253" s="676" t="s">
        <v>1151</v>
      </c>
      <c r="F253" s="680" t="s">
        <v>1152</v>
      </c>
      <c r="G253" s="710">
        <v>730</v>
      </c>
      <c r="H253" s="682">
        <v>1210</v>
      </c>
      <c r="J253" s="668" t="str">
        <f t="shared" si="36"/>
        <v>(3) All Other Equipment</v>
      </c>
      <c r="L253" s="668">
        <v>131</v>
      </c>
      <c r="M253" s="669">
        <v>122</v>
      </c>
      <c r="N253" s="668"/>
      <c r="O253" s="668">
        <v>8</v>
      </c>
      <c r="P253" s="668" t="str">
        <f>IFERROR(VLOOKUP(F253, [2]MOE!B:C, 2, FALSE), "No")</f>
        <v>No</v>
      </c>
      <c r="Q253" s="711"/>
      <c r="S253" s="670" t="s">
        <v>4</v>
      </c>
      <c r="T253" s="668" t="s">
        <v>1057</v>
      </c>
    </row>
    <row r="254" spans="1:20">
      <c r="A254" s="679">
        <v>7001210</v>
      </c>
      <c r="B254" s="677"/>
      <c r="C254" s="672"/>
      <c r="D254" s="672"/>
      <c r="E254" s="676" t="s">
        <v>1153</v>
      </c>
      <c r="F254" s="680" t="s">
        <v>1154</v>
      </c>
      <c r="G254" s="710">
        <v>700</v>
      </c>
      <c r="H254" s="682">
        <v>1210</v>
      </c>
      <c r="J254" s="668" t="str">
        <f t="shared" si="36"/>
        <v>(4) Other Property</v>
      </c>
      <c r="L254" s="668">
        <v>132</v>
      </c>
      <c r="M254" s="669">
        <v>123</v>
      </c>
      <c r="N254" s="668"/>
      <c r="O254" s="668">
        <v>8</v>
      </c>
      <c r="P254" s="668" t="str">
        <f>IFERROR(VLOOKUP(F254, [2]MOE!B:C, 2, FALSE), "No")</f>
        <v>No</v>
      </c>
      <c r="Q254" s="711"/>
      <c r="S254" s="670" t="s">
        <v>4</v>
      </c>
      <c r="T254" s="668" t="s">
        <v>1059</v>
      </c>
    </row>
    <row r="255" spans="1:20">
      <c r="A255" s="671"/>
      <c r="B255" s="677"/>
      <c r="C255" s="672"/>
      <c r="D255" s="672" t="s">
        <v>856</v>
      </c>
      <c r="E255" s="676" t="s">
        <v>256</v>
      </c>
      <c r="F255" s="675"/>
      <c r="G255" s="672"/>
      <c r="H255" s="676"/>
      <c r="Q255" s="711"/>
      <c r="S255" s="670"/>
    </row>
    <row r="256" spans="1:20">
      <c r="A256" s="679">
        <v>8951210</v>
      </c>
      <c r="B256" s="677"/>
      <c r="C256" s="672"/>
      <c r="D256" s="672"/>
      <c r="E256" s="717" t="s">
        <v>1155</v>
      </c>
      <c r="F256" s="683" t="s">
        <v>1156</v>
      </c>
      <c r="G256" s="678">
        <v>895</v>
      </c>
      <c r="H256" s="684">
        <v>1210</v>
      </c>
      <c r="J256" s="668" t="str">
        <f t="shared" ref="J256:J257" si="37">E256</f>
        <v>(1) Miscellaneous Non-Public Expenditures</v>
      </c>
      <c r="L256" s="668">
        <v>139</v>
      </c>
      <c r="M256" s="669">
        <v>129</v>
      </c>
      <c r="N256" s="668"/>
      <c r="O256" s="668">
        <v>8</v>
      </c>
      <c r="P256" s="668" t="str">
        <f>IFERROR(VLOOKUP(F256, [2]MOE!B:C, 2, FALSE), "No")</f>
        <v>YES</v>
      </c>
      <c r="Q256" s="711"/>
      <c r="S256" s="670" t="s">
        <v>4</v>
      </c>
      <c r="T256" s="668" t="s">
        <v>1061</v>
      </c>
    </row>
    <row r="257" spans="1:20">
      <c r="A257" s="679">
        <v>8001210</v>
      </c>
      <c r="B257" s="677"/>
      <c r="C257" s="672"/>
      <c r="D257" s="672"/>
      <c r="E257" s="718" t="s">
        <v>1157</v>
      </c>
      <c r="F257" s="683" t="s">
        <v>1158</v>
      </c>
      <c r="G257" s="678">
        <v>800</v>
      </c>
      <c r="H257" s="684">
        <v>1210</v>
      </c>
      <c r="J257" s="668" t="str">
        <f t="shared" si="37"/>
        <v>(2) Other Miscellaneous Expenditures</v>
      </c>
      <c r="L257" s="668">
        <v>139</v>
      </c>
      <c r="M257" s="669">
        <v>129</v>
      </c>
      <c r="N257" s="668"/>
      <c r="O257" s="668">
        <v>8</v>
      </c>
      <c r="P257" s="668" t="str">
        <f>IFERROR(VLOOKUP(F257, [2]MOE!B:C, 2, FALSE), "No")</f>
        <v>YES</v>
      </c>
      <c r="Q257" s="711"/>
      <c r="S257" s="670" t="s">
        <v>4</v>
      </c>
      <c r="T257" s="668" t="s">
        <v>1063</v>
      </c>
    </row>
    <row r="258" spans="1:20">
      <c r="A258" s="671"/>
      <c r="B258" s="677"/>
      <c r="C258" s="672"/>
      <c r="D258" s="672" t="s">
        <v>859</v>
      </c>
      <c r="E258" s="676" t="s">
        <v>1065</v>
      </c>
      <c r="F258" s="675"/>
      <c r="G258" s="672"/>
      <c r="H258" s="676"/>
      <c r="Q258" s="711"/>
      <c r="S258" s="670"/>
    </row>
    <row r="259" spans="1:20">
      <c r="A259" s="679">
        <v>2101210</v>
      </c>
      <c r="B259" s="677"/>
      <c r="C259" s="672"/>
      <c r="D259" s="672"/>
      <c r="E259" s="676" t="s">
        <v>1159</v>
      </c>
      <c r="F259" s="683" t="s">
        <v>1160</v>
      </c>
      <c r="G259" s="678">
        <v>210</v>
      </c>
      <c r="H259" s="684">
        <v>1210</v>
      </c>
      <c r="J259" s="668" t="str">
        <f t="shared" ref="J259:J261" si="38">E259</f>
        <v>(1) Group Insurance</v>
      </c>
      <c r="L259" s="668">
        <v>89</v>
      </c>
      <c r="M259" s="669">
        <v>84</v>
      </c>
      <c r="N259" s="668"/>
      <c r="O259" s="668">
        <v>8</v>
      </c>
      <c r="P259" s="668" t="str">
        <f>IFERROR(VLOOKUP(F259, [2]MOE!B:C, 2, FALSE), "No")</f>
        <v>YES</v>
      </c>
      <c r="Q259" s="711" t="s">
        <v>1004</v>
      </c>
      <c r="S259" s="670" t="s">
        <v>4</v>
      </c>
      <c r="T259" s="668" t="s">
        <v>1066</v>
      </c>
    </row>
    <row r="260" spans="1:20">
      <c r="A260" s="679">
        <v>2201210</v>
      </c>
      <c r="B260" s="677"/>
      <c r="C260" s="672"/>
      <c r="D260" s="672"/>
      <c r="E260" s="676" t="s">
        <v>1161</v>
      </c>
      <c r="F260" s="683" t="s">
        <v>1162</v>
      </c>
      <c r="G260" s="678">
        <v>220</v>
      </c>
      <c r="H260" s="684">
        <v>1210</v>
      </c>
      <c r="J260" s="668" t="str">
        <f t="shared" si="38"/>
        <v>(2) FICA</v>
      </c>
      <c r="L260" s="668">
        <v>90</v>
      </c>
      <c r="M260" s="669">
        <v>85</v>
      </c>
      <c r="N260" s="668"/>
      <c r="O260" s="668">
        <v>8</v>
      </c>
      <c r="P260" s="668" t="str">
        <f>IFERROR(VLOOKUP(F260, [2]MOE!B:C, 2, FALSE), "No")</f>
        <v>YES</v>
      </c>
      <c r="Q260" s="711" t="s">
        <v>1004</v>
      </c>
      <c r="S260" s="670" t="s">
        <v>4</v>
      </c>
      <c r="T260" s="668" t="s">
        <v>1068</v>
      </c>
    </row>
    <row r="261" spans="1:20">
      <c r="A261" s="679">
        <v>2251210</v>
      </c>
      <c r="B261" s="677"/>
      <c r="C261" s="672"/>
      <c r="D261" s="672"/>
      <c r="E261" s="676" t="s">
        <v>1163</v>
      </c>
      <c r="F261" s="683" t="s">
        <v>1164</v>
      </c>
      <c r="G261" s="678">
        <v>225</v>
      </c>
      <c r="H261" s="684">
        <v>1210</v>
      </c>
      <c r="J261" s="668" t="str">
        <f t="shared" si="38"/>
        <v>(3) Medicare</v>
      </c>
      <c r="L261" s="668">
        <v>91</v>
      </c>
      <c r="M261" s="669">
        <v>86</v>
      </c>
      <c r="N261" s="668"/>
      <c r="O261" s="668">
        <v>8</v>
      </c>
      <c r="P261" s="668" t="str">
        <f>IFERROR(VLOOKUP(F261, [2]MOE!B:C, 2, FALSE), "No")</f>
        <v>YES</v>
      </c>
      <c r="Q261" s="711" t="s">
        <v>1004</v>
      </c>
      <c r="S261" s="670" t="s">
        <v>4</v>
      </c>
      <c r="T261" s="668" t="s">
        <v>23</v>
      </c>
    </row>
    <row r="262" spans="1:20">
      <c r="A262" s="671"/>
      <c r="B262" s="677"/>
      <c r="C262" s="672"/>
      <c r="D262" s="672"/>
      <c r="E262" s="676" t="s">
        <v>1165</v>
      </c>
      <c r="F262" s="675"/>
      <c r="G262" s="672"/>
      <c r="H262" s="676"/>
      <c r="Q262" s="711"/>
      <c r="S262" s="670"/>
    </row>
    <row r="263" spans="1:20">
      <c r="A263" s="679">
        <v>2311210</v>
      </c>
      <c r="B263" s="677"/>
      <c r="C263" s="672"/>
      <c r="D263" s="672"/>
      <c r="E263" s="676" t="s">
        <v>1166</v>
      </c>
      <c r="F263" s="683" t="s">
        <v>1167</v>
      </c>
      <c r="G263" s="678">
        <v>231</v>
      </c>
      <c r="H263" s="684">
        <v>1210</v>
      </c>
      <c r="J263" s="668" t="str">
        <f t="shared" ref="J263:J271" si="39">E263</f>
        <v>(a) Louisiana Teachers Retirement</v>
      </c>
      <c r="L263" s="668">
        <v>92</v>
      </c>
      <c r="M263" s="669">
        <v>87</v>
      </c>
      <c r="N263" s="668"/>
      <c r="O263" s="668">
        <v>8</v>
      </c>
      <c r="P263" s="668" t="str">
        <f>IFERROR(VLOOKUP(F263, [2]MOE!B:C, 2, FALSE), "No")</f>
        <v>YES</v>
      </c>
      <c r="Q263" s="711" t="s">
        <v>1004</v>
      </c>
      <c r="S263" s="670" t="s">
        <v>4</v>
      </c>
      <c r="T263" s="668" t="s">
        <v>1074</v>
      </c>
    </row>
    <row r="264" spans="1:20">
      <c r="A264" s="679">
        <v>2331210</v>
      </c>
      <c r="B264" s="677"/>
      <c r="C264" s="672"/>
      <c r="D264" s="672"/>
      <c r="E264" s="676" t="s">
        <v>1168</v>
      </c>
      <c r="F264" s="683" t="s">
        <v>1169</v>
      </c>
      <c r="G264" s="678">
        <v>233</v>
      </c>
      <c r="H264" s="684">
        <v>1210</v>
      </c>
      <c r="J264" s="668" t="str">
        <f t="shared" si="39"/>
        <v>(b) Louisiana School Emp. Retirement</v>
      </c>
      <c r="L264" s="668">
        <v>92</v>
      </c>
      <c r="M264" s="669">
        <v>87</v>
      </c>
      <c r="N264" s="668"/>
      <c r="O264" s="668">
        <v>8</v>
      </c>
      <c r="P264" s="668" t="str">
        <f>IFERROR(VLOOKUP(F264, [2]MOE!B:C, 2, FALSE), "No")</f>
        <v>YES</v>
      </c>
      <c r="Q264" s="711" t="s">
        <v>1004</v>
      </c>
      <c r="S264" s="670" t="s">
        <v>4</v>
      </c>
      <c r="T264" s="668" t="s">
        <v>1170</v>
      </c>
    </row>
    <row r="265" spans="1:20">
      <c r="A265" s="679">
        <v>2391210</v>
      </c>
      <c r="B265" s="677"/>
      <c r="C265" s="672"/>
      <c r="D265" s="672"/>
      <c r="E265" s="676" t="s">
        <v>1171</v>
      </c>
      <c r="F265" s="683" t="s">
        <v>1172</v>
      </c>
      <c r="G265" s="678">
        <v>239</v>
      </c>
      <c r="H265" s="684">
        <v>1210</v>
      </c>
      <c r="J265" s="668" t="str">
        <f t="shared" si="39"/>
        <v>(c) Other Retirement</v>
      </c>
      <c r="L265" s="668">
        <v>92</v>
      </c>
      <c r="M265" s="669">
        <v>87</v>
      </c>
      <c r="N265" s="668"/>
      <c r="O265" s="668">
        <v>8</v>
      </c>
      <c r="P265" s="668" t="str">
        <f>IFERROR(VLOOKUP(F265, [2]MOE!B:C, 2, FALSE), "No")</f>
        <v>YES</v>
      </c>
      <c r="Q265" s="711" t="s">
        <v>1004</v>
      </c>
      <c r="S265" s="670" t="s">
        <v>4</v>
      </c>
      <c r="T265" s="668" t="s">
        <v>1080</v>
      </c>
    </row>
    <row r="266" spans="1:20">
      <c r="A266" s="679">
        <v>2501210</v>
      </c>
      <c r="B266" s="677"/>
      <c r="C266" s="672"/>
      <c r="D266" s="672"/>
      <c r="E266" s="676" t="s">
        <v>1173</v>
      </c>
      <c r="F266" s="683" t="s">
        <v>1174</v>
      </c>
      <c r="G266" s="678">
        <v>250</v>
      </c>
      <c r="H266" s="684">
        <v>1210</v>
      </c>
      <c r="J266" s="668" t="str">
        <f t="shared" si="39"/>
        <v>(5) Unemployment Compensation</v>
      </c>
      <c r="L266" s="668">
        <v>93</v>
      </c>
      <c r="M266" s="669">
        <v>88</v>
      </c>
      <c r="N266" s="668"/>
      <c r="O266" s="668">
        <v>8</v>
      </c>
      <c r="P266" s="668" t="str">
        <f>IFERROR(VLOOKUP(F266, [2]MOE!B:C, 2, FALSE), "No")</f>
        <v>YES</v>
      </c>
      <c r="Q266" s="711" t="s">
        <v>1004</v>
      </c>
      <c r="S266" s="670" t="s">
        <v>4</v>
      </c>
      <c r="T266" s="668" t="s">
        <v>1081</v>
      </c>
    </row>
    <row r="267" spans="1:20">
      <c r="A267" s="679">
        <v>2601210</v>
      </c>
      <c r="B267" s="677"/>
      <c r="C267" s="672"/>
      <c r="D267" s="672"/>
      <c r="E267" s="676" t="s">
        <v>1175</v>
      </c>
      <c r="F267" s="683" t="s">
        <v>1176</v>
      </c>
      <c r="G267" s="678">
        <v>260</v>
      </c>
      <c r="H267" s="684">
        <v>1210</v>
      </c>
      <c r="J267" s="668" t="str">
        <f t="shared" si="39"/>
        <v>(6) Workmen's Compensation</v>
      </c>
      <c r="L267" s="668">
        <v>95</v>
      </c>
      <c r="M267" s="669">
        <v>90</v>
      </c>
      <c r="N267" s="668"/>
      <c r="O267" s="668">
        <v>8</v>
      </c>
      <c r="P267" s="668" t="str">
        <f>IFERROR(VLOOKUP(F267, [2]MOE!B:C, 2, FALSE), "No")</f>
        <v>YES</v>
      </c>
      <c r="Q267" s="711" t="s">
        <v>1004</v>
      </c>
      <c r="S267" s="670" t="s">
        <v>4</v>
      </c>
      <c r="T267" s="668" t="s">
        <v>1083</v>
      </c>
    </row>
    <row r="268" spans="1:20">
      <c r="A268" s="679">
        <v>2701210</v>
      </c>
      <c r="B268" s="677"/>
      <c r="C268" s="672"/>
      <c r="D268" s="672"/>
      <c r="E268" s="676" t="s">
        <v>1177</v>
      </c>
      <c r="F268" s="683" t="s">
        <v>1178</v>
      </c>
      <c r="G268" s="678">
        <v>270</v>
      </c>
      <c r="H268" s="684">
        <v>1210</v>
      </c>
      <c r="J268" s="668" t="str">
        <f t="shared" si="39"/>
        <v>(7) Health Benefits (retirees)</v>
      </c>
      <c r="L268" s="668">
        <v>94</v>
      </c>
      <c r="M268" s="669">
        <v>89</v>
      </c>
      <c r="N268" s="668"/>
      <c r="O268" s="668">
        <v>8</v>
      </c>
      <c r="P268" s="668" t="str">
        <f>IFERROR(VLOOKUP(F268, [2]MOE!B:C, 2, FALSE), "No")</f>
        <v>YES</v>
      </c>
      <c r="Q268" s="711" t="s">
        <v>1004</v>
      </c>
      <c r="S268" s="670" t="s">
        <v>4</v>
      </c>
      <c r="T268" s="668" t="s">
        <v>1085</v>
      </c>
    </row>
    <row r="269" spans="1:20">
      <c r="A269" s="679">
        <v>2811210</v>
      </c>
      <c r="B269" s="677"/>
      <c r="C269" s="672"/>
      <c r="D269" s="672"/>
      <c r="E269" s="676" t="s">
        <v>1179</v>
      </c>
      <c r="F269" s="683" t="s">
        <v>1180</v>
      </c>
      <c r="G269" s="678">
        <v>281</v>
      </c>
      <c r="H269" s="684">
        <v>1210</v>
      </c>
      <c r="J269" s="668" t="str">
        <f t="shared" si="39"/>
        <v>(8) Sick Leave Severance Pay</v>
      </c>
      <c r="L269" s="668">
        <v>95</v>
      </c>
      <c r="M269" s="669">
        <v>90</v>
      </c>
      <c r="N269" s="668"/>
      <c r="O269" s="668">
        <v>8</v>
      </c>
      <c r="P269" s="668" t="str">
        <f>IFERROR(VLOOKUP(F269, [2]MOE!B:C, 2, FALSE), "No")</f>
        <v>YES</v>
      </c>
      <c r="Q269" s="711" t="s">
        <v>1004</v>
      </c>
      <c r="S269" s="670" t="s">
        <v>4</v>
      </c>
      <c r="T269" s="668" t="s">
        <v>1087</v>
      </c>
    </row>
    <row r="270" spans="1:20">
      <c r="A270" s="679">
        <v>2821210</v>
      </c>
      <c r="B270" s="677"/>
      <c r="C270" s="672"/>
      <c r="D270" s="672"/>
      <c r="E270" s="676" t="s">
        <v>1181</v>
      </c>
      <c r="F270" s="683" t="s">
        <v>1182</v>
      </c>
      <c r="G270" s="678">
        <v>282</v>
      </c>
      <c r="H270" s="684">
        <v>1210</v>
      </c>
      <c r="J270" s="668" t="str">
        <f t="shared" si="39"/>
        <v>(9) Annual Leave Severance Pay</v>
      </c>
      <c r="L270" s="668">
        <v>95</v>
      </c>
      <c r="M270" s="669">
        <v>90</v>
      </c>
      <c r="N270" s="668"/>
      <c r="O270" s="668">
        <v>8</v>
      </c>
      <c r="P270" s="668" t="str">
        <f>IFERROR(VLOOKUP(F270, [2]MOE!B:C, 2, FALSE), "No")</f>
        <v>YES</v>
      </c>
      <c r="Q270" s="711" t="s">
        <v>1004</v>
      </c>
      <c r="S270" s="670" t="s">
        <v>4</v>
      </c>
      <c r="T270" s="668" t="s">
        <v>1089</v>
      </c>
    </row>
    <row r="271" spans="1:20">
      <c r="A271" s="679">
        <v>2901210</v>
      </c>
      <c r="B271" s="719"/>
      <c r="C271" s="681"/>
      <c r="D271" s="681"/>
      <c r="E271" s="686" t="s">
        <v>1183</v>
      </c>
      <c r="F271" s="680" t="s">
        <v>1184</v>
      </c>
      <c r="G271" s="710">
        <v>290</v>
      </c>
      <c r="H271" s="682">
        <v>1210</v>
      </c>
      <c r="J271" s="668" t="str">
        <f t="shared" si="39"/>
        <v>(10) Other Employee Benefits</v>
      </c>
      <c r="L271" s="668">
        <v>95</v>
      </c>
      <c r="M271" s="669">
        <v>90</v>
      </c>
      <c r="N271" s="668"/>
      <c r="O271" s="668">
        <v>8</v>
      </c>
      <c r="P271" s="668" t="str">
        <f>IFERROR(VLOOKUP(F271, [2]MOE!B:C, 2, FALSE), "No")</f>
        <v>YES</v>
      </c>
      <c r="Q271" s="711" t="s">
        <v>1004</v>
      </c>
      <c r="S271" s="670" t="s">
        <v>4</v>
      </c>
      <c r="T271" s="668" t="s">
        <v>1092</v>
      </c>
    </row>
    <row r="272" spans="1:20">
      <c r="A272" s="671"/>
      <c r="B272" s="677"/>
      <c r="C272" s="678">
        <v>10</v>
      </c>
      <c r="D272" s="925" t="s">
        <v>1185</v>
      </c>
      <c r="E272" s="926"/>
      <c r="F272" s="675"/>
      <c r="G272" s="672"/>
      <c r="H272" s="676"/>
      <c r="Q272" s="711"/>
      <c r="S272" s="670"/>
    </row>
    <row r="273" spans="1:20">
      <c r="A273" s="671"/>
      <c r="B273" s="677"/>
      <c r="C273" s="672"/>
      <c r="D273" s="672" t="s">
        <v>759</v>
      </c>
      <c r="E273" s="676" t="s">
        <v>244</v>
      </c>
      <c r="F273" s="675"/>
      <c r="G273" s="672"/>
      <c r="H273" s="676"/>
      <c r="Q273" s="711"/>
      <c r="S273" s="670"/>
    </row>
    <row r="274" spans="1:20">
      <c r="A274" s="679">
        <v>1121220</v>
      </c>
      <c r="B274" s="677"/>
      <c r="C274" s="672"/>
      <c r="D274" s="672"/>
      <c r="E274" s="676" t="s">
        <v>1098</v>
      </c>
      <c r="F274" s="680" t="s">
        <v>1186</v>
      </c>
      <c r="G274" s="710">
        <v>112</v>
      </c>
      <c r="H274" s="682">
        <v>1220</v>
      </c>
      <c r="J274" s="668" t="str">
        <f t="shared" ref="J274:J280" si="40">E274</f>
        <v>(1) Teachers</v>
      </c>
      <c r="L274" s="668">
        <v>82</v>
      </c>
      <c r="M274" s="669">
        <v>77</v>
      </c>
      <c r="N274" s="668"/>
      <c r="O274" s="668">
        <v>8</v>
      </c>
      <c r="P274" s="668" t="str">
        <f>IFERROR(VLOOKUP(F274, [2]MOE!B:C, 2, FALSE), "No")</f>
        <v>No</v>
      </c>
      <c r="Q274" s="711" t="s">
        <v>1004</v>
      </c>
      <c r="S274" s="670" t="s">
        <v>1185</v>
      </c>
      <c r="T274" s="668" t="s">
        <v>5</v>
      </c>
    </row>
    <row r="275" spans="1:20">
      <c r="A275" s="679">
        <v>1151220</v>
      </c>
      <c r="B275" s="677"/>
      <c r="C275" s="672"/>
      <c r="D275" s="672"/>
      <c r="E275" s="676" t="s">
        <v>1100</v>
      </c>
      <c r="F275" s="680" t="s">
        <v>1187</v>
      </c>
      <c r="G275" s="710">
        <v>115</v>
      </c>
      <c r="H275" s="682">
        <v>1220</v>
      </c>
      <c r="J275" s="668" t="str">
        <f t="shared" si="40"/>
        <v>(2) Para-professionals (Aides)</v>
      </c>
      <c r="L275" s="668">
        <v>86</v>
      </c>
      <c r="M275" s="669">
        <v>81</v>
      </c>
      <c r="N275" s="668"/>
      <c r="O275" s="668">
        <v>8</v>
      </c>
      <c r="P275" s="668" t="str">
        <f>IFERROR(VLOOKUP(F275, [2]MOE!B:C, 2, FALSE), "No")</f>
        <v>No</v>
      </c>
      <c r="Q275" s="711" t="s">
        <v>1004</v>
      </c>
      <c r="S275" s="670" t="s">
        <v>1185</v>
      </c>
      <c r="T275" s="668" t="s">
        <v>1102</v>
      </c>
    </row>
    <row r="276" spans="1:20">
      <c r="A276" s="679">
        <v>1231220</v>
      </c>
      <c r="B276" s="677"/>
      <c r="C276" s="672"/>
      <c r="D276" s="672"/>
      <c r="E276" s="676" t="s">
        <v>1103</v>
      </c>
      <c r="F276" s="680" t="s">
        <v>1188</v>
      </c>
      <c r="G276" s="710">
        <v>123</v>
      </c>
      <c r="H276" s="682">
        <v>1220</v>
      </c>
      <c r="J276" s="668" t="str">
        <f t="shared" si="40"/>
        <v>(3) Substitute Teachers</v>
      </c>
      <c r="L276" s="668">
        <v>86</v>
      </c>
      <c r="M276" s="669">
        <v>81</v>
      </c>
      <c r="N276" s="668"/>
      <c r="O276" s="668">
        <v>8</v>
      </c>
      <c r="P276" s="668" t="str">
        <f>IFERROR(VLOOKUP(F276, [2]MOE!B:C, 2, FALSE), "No")</f>
        <v>No</v>
      </c>
      <c r="Q276" s="711" t="s">
        <v>1004</v>
      </c>
      <c r="S276" s="670" t="s">
        <v>1185</v>
      </c>
      <c r="T276" s="668" t="s">
        <v>1105</v>
      </c>
    </row>
    <row r="277" spans="1:20">
      <c r="A277" s="679">
        <v>1201220</v>
      </c>
      <c r="B277" s="677"/>
      <c r="C277" s="672"/>
      <c r="D277" s="672"/>
      <c r="E277" s="676" t="s">
        <v>1106</v>
      </c>
      <c r="F277" s="680" t="s">
        <v>1189</v>
      </c>
      <c r="G277" s="710">
        <v>120</v>
      </c>
      <c r="H277" s="682">
        <v>1220</v>
      </c>
      <c r="J277" s="668" t="str">
        <f t="shared" si="40"/>
        <v>(4) Other Substitute/Temp. Employees</v>
      </c>
      <c r="L277" s="668">
        <v>86</v>
      </c>
      <c r="M277" s="669">
        <v>81</v>
      </c>
      <c r="N277" s="668"/>
      <c r="O277" s="668">
        <v>8</v>
      </c>
      <c r="P277" s="668" t="str">
        <f>IFERROR(VLOOKUP(F277, [2]MOE!B:C, 2, FALSE), "No")</f>
        <v>No</v>
      </c>
      <c r="Q277" s="711" t="s">
        <v>1004</v>
      </c>
      <c r="S277" s="670" t="s">
        <v>1185</v>
      </c>
      <c r="T277" s="668" t="s">
        <v>1108</v>
      </c>
    </row>
    <row r="278" spans="1:20">
      <c r="A278" s="679">
        <v>1001220</v>
      </c>
      <c r="B278" s="677"/>
      <c r="C278" s="672"/>
      <c r="D278" s="672"/>
      <c r="E278" s="676" t="s">
        <v>1109</v>
      </c>
      <c r="F278" s="680" t="s">
        <v>1190</v>
      </c>
      <c r="G278" s="710">
        <v>100</v>
      </c>
      <c r="H278" s="682">
        <v>1220</v>
      </c>
      <c r="J278" s="668" t="str">
        <f t="shared" si="40"/>
        <v>(5) Other Instructional Salaries</v>
      </c>
      <c r="L278" s="668">
        <v>86</v>
      </c>
      <c r="M278" s="669">
        <v>81</v>
      </c>
      <c r="N278" s="668"/>
      <c r="O278" s="668">
        <v>8</v>
      </c>
      <c r="P278" s="668" t="str">
        <f>IFERROR(VLOOKUP(F278, [2]MOE!B:C, 2, FALSE), "No")</f>
        <v>No</v>
      </c>
      <c r="Q278" s="711" t="s">
        <v>1004</v>
      </c>
      <c r="S278" s="670" t="s">
        <v>1185</v>
      </c>
      <c r="T278" s="668" t="s">
        <v>1017</v>
      </c>
    </row>
    <row r="279" spans="1:20">
      <c r="A279" s="679">
        <v>1401220</v>
      </c>
      <c r="B279" s="677"/>
      <c r="C279" s="672"/>
      <c r="D279" s="672"/>
      <c r="E279" s="676" t="s">
        <v>1111</v>
      </c>
      <c r="F279" s="680" t="s">
        <v>1191</v>
      </c>
      <c r="G279" s="710">
        <v>140</v>
      </c>
      <c r="H279" s="682">
        <v>1220</v>
      </c>
      <c r="J279" s="668" t="str">
        <f t="shared" si="40"/>
        <v>(6) Sabbatical Leave</v>
      </c>
      <c r="L279" s="668">
        <v>86</v>
      </c>
      <c r="M279" s="669">
        <v>81</v>
      </c>
      <c r="N279" s="668"/>
      <c r="O279" s="668">
        <v>8</v>
      </c>
      <c r="P279" s="668" t="str">
        <f>IFERROR(VLOOKUP(F279, [2]MOE!B:C, 2, FALSE), "No")</f>
        <v>No</v>
      </c>
      <c r="Q279" s="711" t="s">
        <v>1004</v>
      </c>
      <c r="S279" s="670" t="s">
        <v>1185</v>
      </c>
      <c r="T279" s="668" t="s">
        <v>1019</v>
      </c>
    </row>
    <row r="280" spans="1:20">
      <c r="A280" s="679">
        <v>3001220</v>
      </c>
      <c r="B280" s="677"/>
      <c r="C280" s="672"/>
      <c r="D280" s="672" t="s">
        <v>777</v>
      </c>
      <c r="E280" s="676" t="s">
        <v>1113</v>
      </c>
      <c r="F280" s="680" t="s">
        <v>1192</v>
      </c>
      <c r="G280" s="710">
        <v>300</v>
      </c>
      <c r="H280" s="682">
        <v>1220</v>
      </c>
      <c r="J280" s="668" t="str">
        <f t="shared" si="40"/>
        <v>Purchased Professional and Technical Svcs</v>
      </c>
      <c r="L280" s="668">
        <v>101</v>
      </c>
      <c r="M280" s="669">
        <v>96</v>
      </c>
      <c r="N280" s="668"/>
      <c r="O280" s="668">
        <v>8</v>
      </c>
      <c r="P280" s="668" t="str">
        <f>IFERROR(VLOOKUP(F280, [2]MOE!B:C, 2, FALSE), "No")</f>
        <v>No</v>
      </c>
      <c r="Q280" s="711"/>
      <c r="S280" s="670" t="s">
        <v>1185</v>
      </c>
      <c r="T280" s="668" t="s">
        <v>1113</v>
      </c>
    </row>
    <row r="281" spans="1:20">
      <c r="A281" s="671"/>
      <c r="B281" s="677"/>
      <c r="C281" s="672"/>
      <c r="D281" s="672" t="s">
        <v>801</v>
      </c>
      <c r="E281" s="676" t="s">
        <v>250</v>
      </c>
      <c r="F281" s="675"/>
      <c r="G281" s="672"/>
      <c r="H281" s="676"/>
      <c r="Q281" s="711"/>
      <c r="S281" s="670"/>
    </row>
    <row r="282" spans="1:20">
      <c r="A282" s="679">
        <v>4301220</v>
      </c>
      <c r="B282" s="677"/>
      <c r="C282" s="672"/>
      <c r="D282" s="672"/>
      <c r="E282" s="676" t="s">
        <v>1115</v>
      </c>
      <c r="F282" s="680" t="s">
        <v>1193</v>
      </c>
      <c r="G282" s="710">
        <v>430</v>
      </c>
      <c r="H282" s="682">
        <v>1220</v>
      </c>
      <c r="J282" s="668" t="str">
        <f t="shared" ref="J282:J284" si="41">E282</f>
        <v>(1) Repairs and Maintenance Services</v>
      </c>
      <c r="L282" s="668">
        <v>107</v>
      </c>
      <c r="M282" s="669">
        <v>102</v>
      </c>
      <c r="N282" s="668"/>
      <c r="O282" s="668">
        <v>8</v>
      </c>
      <c r="P282" s="668" t="str">
        <f>IFERROR(VLOOKUP(F282, [2]MOE!B:C, 2, FALSE), "No")</f>
        <v>No</v>
      </c>
      <c r="Q282" s="711"/>
      <c r="S282" s="670" t="s">
        <v>1185</v>
      </c>
      <c r="T282" s="668" t="s">
        <v>1023</v>
      </c>
    </row>
    <row r="283" spans="1:20">
      <c r="A283" s="679">
        <v>4421220</v>
      </c>
      <c r="B283" s="677"/>
      <c r="C283" s="672"/>
      <c r="D283" s="672"/>
      <c r="E283" s="676" t="s">
        <v>1117</v>
      </c>
      <c r="F283" s="680" t="s">
        <v>1194</v>
      </c>
      <c r="G283" s="710">
        <v>442</v>
      </c>
      <c r="H283" s="682">
        <v>1220</v>
      </c>
      <c r="J283" s="668" t="str">
        <f t="shared" si="41"/>
        <v>(2) Rental of Equipment</v>
      </c>
      <c r="L283" s="668">
        <v>106</v>
      </c>
      <c r="M283" s="669">
        <v>101</v>
      </c>
      <c r="N283" s="668"/>
      <c r="O283" s="668">
        <v>8</v>
      </c>
      <c r="P283" s="668" t="str">
        <f>IFERROR(VLOOKUP(F283, [2]MOE!B:C, 2, FALSE), "No")</f>
        <v>No</v>
      </c>
      <c r="Q283" s="711"/>
      <c r="S283" s="670" t="s">
        <v>1185</v>
      </c>
      <c r="T283" s="668" t="s">
        <v>1025</v>
      </c>
    </row>
    <row r="284" spans="1:20">
      <c r="A284" s="679">
        <v>4001220</v>
      </c>
      <c r="B284" s="677"/>
      <c r="C284" s="672"/>
      <c r="D284" s="672"/>
      <c r="E284" s="676" t="s">
        <v>1119</v>
      </c>
      <c r="F284" s="680" t="s">
        <v>1195</v>
      </c>
      <c r="G284" s="710">
        <v>400</v>
      </c>
      <c r="H284" s="682">
        <v>1220</v>
      </c>
      <c r="J284" s="668" t="str">
        <f t="shared" si="41"/>
        <v>(3) Other Purchased Property Services</v>
      </c>
      <c r="L284" s="668">
        <v>108</v>
      </c>
      <c r="M284" s="669">
        <v>103</v>
      </c>
      <c r="N284" s="668"/>
      <c r="O284" s="668">
        <v>8</v>
      </c>
      <c r="P284" s="668" t="str">
        <f>IFERROR(VLOOKUP(F284, [2]MOE!B:C, 2, FALSE), "No")</f>
        <v>No</v>
      </c>
      <c r="Q284" s="711"/>
      <c r="S284" s="670" t="s">
        <v>1185</v>
      </c>
      <c r="T284" s="668" t="s">
        <v>1027</v>
      </c>
    </row>
    <row r="285" spans="1:20">
      <c r="A285" s="671"/>
      <c r="B285" s="677"/>
      <c r="C285" s="672"/>
      <c r="D285" s="672" t="s">
        <v>805</v>
      </c>
      <c r="E285" s="676" t="s">
        <v>252</v>
      </c>
      <c r="F285" s="675"/>
      <c r="G285" s="672"/>
      <c r="H285" s="676"/>
      <c r="Q285" s="711"/>
      <c r="S285" s="670"/>
    </row>
    <row r="286" spans="1:20">
      <c r="A286" s="671"/>
      <c r="B286" s="677"/>
      <c r="C286" s="672"/>
      <c r="D286" s="672"/>
      <c r="E286" s="676" t="s">
        <v>1121</v>
      </c>
      <c r="F286" s="675"/>
      <c r="G286" s="672"/>
      <c r="H286" s="676"/>
      <c r="Q286" s="711"/>
      <c r="S286" s="670"/>
    </row>
    <row r="287" spans="1:20">
      <c r="A287" s="679">
        <v>5611220</v>
      </c>
      <c r="B287" s="677"/>
      <c r="C287" s="672"/>
      <c r="D287" s="672"/>
      <c r="E287" s="676" t="s">
        <v>1196</v>
      </c>
      <c r="F287" s="680" t="s">
        <v>1197</v>
      </c>
      <c r="G287" s="710">
        <v>561</v>
      </c>
      <c r="H287" s="682">
        <v>1220</v>
      </c>
      <c r="J287" s="668" t="str">
        <f t="shared" ref="J287:J293" si="42">E287</f>
        <v>(a) Paid to Other LEAs (In-State)</v>
      </c>
      <c r="L287" s="668">
        <v>119</v>
      </c>
      <c r="M287" s="669">
        <v>110</v>
      </c>
      <c r="N287" s="668"/>
      <c r="O287" s="668">
        <v>8</v>
      </c>
      <c r="P287" s="668" t="str">
        <f>IFERROR(VLOOKUP(F287, [2]MOE!B:C, 2, FALSE), "No")</f>
        <v>No</v>
      </c>
      <c r="Q287" s="711"/>
      <c r="S287" s="670" t="s">
        <v>1185</v>
      </c>
      <c r="T287" s="668" t="s">
        <v>1198</v>
      </c>
    </row>
    <row r="288" spans="1:20">
      <c r="A288" s="679">
        <v>5621220</v>
      </c>
      <c r="B288" s="677"/>
      <c r="C288" s="672"/>
      <c r="D288" s="672"/>
      <c r="E288" s="676" t="s">
        <v>1124</v>
      </c>
      <c r="F288" s="680" t="s">
        <v>1199</v>
      </c>
      <c r="G288" s="710">
        <v>562</v>
      </c>
      <c r="H288" s="682">
        <v>1220</v>
      </c>
      <c r="J288" s="668" t="str">
        <f t="shared" si="42"/>
        <v>(b) Paid to Other LEA (Out-of-State)</v>
      </c>
      <c r="L288" s="668">
        <v>119</v>
      </c>
      <c r="M288" s="669">
        <v>110</v>
      </c>
      <c r="N288" s="668"/>
      <c r="O288" s="668">
        <v>8</v>
      </c>
      <c r="P288" s="668" t="str">
        <f>IFERROR(VLOOKUP(F288, [2]MOE!B:C, 2, FALSE), "No")</f>
        <v>No</v>
      </c>
      <c r="Q288" s="711"/>
      <c r="S288" s="670" t="s">
        <v>1185</v>
      </c>
      <c r="T288" s="668" t="s">
        <v>1035</v>
      </c>
    </row>
    <row r="289" spans="1:20">
      <c r="A289" s="679">
        <v>5631220</v>
      </c>
      <c r="B289" s="677"/>
      <c r="C289" s="672"/>
      <c r="D289" s="672"/>
      <c r="E289" s="676" t="s">
        <v>1126</v>
      </c>
      <c r="F289" s="680" t="s">
        <v>1200</v>
      </c>
      <c r="G289" s="710">
        <v>563</v>
      </c>
      <c r="H289" s="682">
        <v>1220</v>
      </c>
      <c r="J289" s="668" t="str">
        <f t="shared" si="42"/>
        <v>(c) Paid to Non-Public Schools - Vouchers</v>
      </c>
      <c r="L289" s="668">
        <v>119</v>
      </c>
      <c r="M289" s="669">
        <v>110</v>
      </c>
      <c r="N289" s="668"/>
      <c r="O289" s="668">
        <v>8</v>
      </c>
      <c r="P289" s="668" t="str">
        <f>IFERROR(VLOOKUP(F289, [2]MOE!B:C, 2, FALSE), "No")</f>
        <v>No</v>
      </c>
      <c r="Q289" s="711"/>
      <c r="S289" s="670" t="s">
        <v>1185</v>
      </c>
      <c r="T289" s="668" t="s">
        <v>1128</v>
      </c>
    </row>
    <row r="290" spans="1:20">
      <c r="A290" s="679">
        <v>5661220</v>
      </c>
      <c r="B290" s="677"/>
      <c r="C290" s="672"/>
      <c r="D290" s="672"/>
      <c r="E290" s="676" t="s">
        <v>1129</v>
      </c>
      <c r="F290" s="680" t="s">
        <v>1201</v>
      </c>
      <c r="G290" s="710">
        <v>566</v>
      </c>
      <c r="H290" s="682">
        <v>1220</v>
      </c>
      <c r="J290" s="668" t="str">
        <f t="shared" si="42"/>
        <v>(d) Paid To Charter Schools - Vouchers</v>
      </c>
      <c r="L290" s="668">
        <v>119</v>
      </c>
      <c r="M290" s="669">
        <v>110</v>
      </c>
      <c r="N290" s="668"/>
      <c r="O290" s="668">
        <v>8</v>
      </c>
      <c r="P290" s="668" t="str">
        <f>IFERROR(VLOOKUP(F290, [2]MOE!B:C, 2, FALSE), "No")</f>
        <v>No</v>
      </c>
      <c r="Q290" s="711"/>
      <c r="S290" s="670" t="s">
        <v>1185</v>
      </c>
      <c r="T290" s="668" t="s">
        <v>1131</v>
      </c>
    </row>
    <row r="291" spans="1:20">
      <c r="A291" s="679">
        <v>5671220</v>
      </c>
      <c r="B291" s="677"/>
      <c r="C291" s="672"/>
      <c r="D291" s="672"/>
      <c r="E291" s="676" t="s">
        <v>1132</v>
      </c>
      <c r="F291" s="680" t="s">
        <v>1202</v>
      </c>
      <c r="G291" s="710">
        <v>567</v>
      </c>
      <c r="H291" s="682">
        <v>1220</v>
      </c>
      <c r="J291" s="668" t="str">
        <f t="shared" si="42"/>
        <v>(e) Paid To School Districts - Vouchers</v>
      </c>
      <c r="L291" s="668">
        <v>119</v>
      </c>
      <c r="M291" s="669">
        <v>110</v>
      </c>
      <c r="N291" s="668"/>
      <c r="O291" s="668">
        <v>8</v>
      </c>
      <c r="P291" s="668" t="str">
        <f>IFERROR(VLOOKUP(F291, [2]MOE!B:C, 2, FALSE), "No")</f>
        <v>No</v>
      </c>
      <c r="Q291" s="711"/>
      <c r="S291" s="670" t="s">
        <v>1185</v>
      </c>
      <c r="T291" s="668" t="s">
        <v>1134</v>
      </c>
    </row>
    <row r="292" spans="1:20">
      <c r="A292" s="679">
        <v>5821220</v>
      </c>
      <c r="B292" s="677"/>
      <c r="C292" s="672"/>
      <c r="D292" s="672"/>
      <c r="E292" s="676" t="s">
        <v>1135</v>
      </c>
      <c r="F292" s="680" t="s">
        <v>1203</v>
      </c>
      <c r="G292" s="710">
        <v>582</v>
      </c>
      <c r="H292" s="682">
        <v>1220</v>
      </c>
      <c r="J292" s="668" t="str">
        <f t="shared" si="42"/>
        <v>(2) Travel Expense Reimbursement</v>
      </c>
      <c r="L292" s="668">
        <v>118</v>
      </c>
      <c r="M292" s="669">
        <v>109</v>
      </c>
      <c r="N292" s="668"/>
      <c r="O292" s="668">
        <v>8</v>
      </c>
      <c r="P292" s="668" t="str">
        <f>IFERROR(VLOOKUP(F292, [2]MOE!B:C, 2, FALSE), "No")</f>
        <v>No</v>
      </c>
      <c r="Q292" s="711"/>
      <c r="S292" s="670" t="s">
        <v>1185</v>
      </c>
      <c r="T292" s="668" t="s">
        <v>1039</v>
      </c>
    </row>
    <row r="293" spans="1:20">
      <c r="A293" s="679">
        <v>5001220</v>
      </c>
      <c r="B293" s="677"/>
      <c r="C293" s="672"/>
      <c r="D293" s="672"/>
      <c r="E293" s="676" t="s">
        <v>1137</v>
      </c>
      <c r="F293" s="680" t="s">
        <v>1204</v>
      </c>
      <c r="G293" s="710">
        <v>500</v>
      </c>
      <c r="H293" s="682">
        <v>1220</v>
      </c>
      <c r="J293" s="668" t="str">
        <f t="shared" si="42"/>
        <v>(3) Other Purchased Services</v>
      </c>
      <c r="L293" s="668">
        <v>119</v>
      </c>
      <c r="M293" s="669">
        <v>110</v>
      </c>
      <c r="N293" s="668"/>
      <c r="O293" s="668">
        <v>8</v>
      </c>
      <c r="P293" s="668" t="str">
        <f>IFERROR(VLOOKUP(F293, [2]MOE!B:C, 2, FALSE), "No")</f>
        <v>No</v>
      </c>
      <c r="Q293" s="711"/>
      <c r="S293" s="670" t="s">
        <v>1185</v>
      </c>
      <c r="T293" s="668" t="s">
        <v>252</v>
      </c>
    </row>
    <row r="294" spans="1:20">
      <c r="A294" s="671"/>
      <c r="B294" s="677"/>
      <c r="C294" s="672"/>
      <c r="D294" s="672" t="s">
        <v>850</v>
      </c>
      <c r="E294" s="676" t="s">
        <v>1042</v>
      </c>
      <c r="F294" s="675"/>
      <c r="G294" s="672"/>
      <c r="H294" s="676"/>
      <c r="Q294" s="711"/>
      <c r="S294" s="670"/>
    </row>
    <row r="295" spans="1:20">
      <c r="A295" s="679">
        <v>6151220</v>
      </c>
      <c r="B295" s="677"/>
      <c r="C295" s="672"/>
      <c r="D295" s="672"/>
      <c r="E295" s="676" t="s">
        <v>1139</v>
      </c>
      <c r="F295" s="680" t="s">
        <v>1205</v>
      </c>
      <c r="G295" s="710">
        <v>615</v>
      </c>
      <c r="H295" s="682">
        <v>1220</v>
      </c>
      <c r="J295" s="668" t="str">
        <f t="shared" ref="J295:J298" si="43">E295</f>
        <v>(1) Technology-Related Supplies</v>
      </c>
      <c r="L295" s="668">
        <v>126</v>
      </c>
      <c r="M295" s="669">
        <v>117</v>
      </c>
      <c r="N295" s="668"/>
      <c r="O295" s="668">
        <v>8</v>
      </c>
      <c r="P295" s="668" t="str">
        <f>IFERROR(VLOOKUP(F295, [2]MOE!B:C, 2, FALSE), "No")</f>
        <v>No</v>
      </c>
      <c r="Q295" s="711" t="s">
        <v>1045</v>
      </c>
      <c r="S295" s="670" t="s">
        <v>1185</v>
      </c>
      <c r="T295" s="668" t="s">
        <v>1043</v>
      </c>
    </row>
    <row r="296" spans="1:20">
      <c r="A296" s="679">
        <v>6101220</v>
      </c>
      <c r="B296" s="677"/>
      <c r="C296" s="672"/>
      <c r="D296" s="672"/>
      <c r="E296" s="676" t="s">
        <v>1141</v>
      </c>
      <c r="F296" s="680" t="s">
        <v>1206</v>
      </c>
      <c r="G296" s="710">
        <v>610</v>
      </c>
      <c r="H296" s="682">
        <v>1220</v>
      </c>
      <c r="J296" s="668" t="str">
        <f t="shared" si="43"/>
        <v>(2) Materials and Supplies</v>
      </c>
      <c r="L296" s="668">
        <v>122</v>
      </c>
      <c r="M296" s="669">
        <v>113</v>
      </c>
      <c r="N296" s="668"/>
      <c r="O296" s="668">
        <v>8</v>
      </c>
      <c r="P296" s="668" t="str">
        <f>IFERROR(VLOOKUP(F296, [2]MOE!B:C, 2, FALSE), "No")</f>
        <v>No</v>
      </c>
      <c r="Q296" s="711" t="s">
        <v>1045</v>
      </c>
      <c r="S296" s="670" t="s">
        <v>1185</v>
      </c>
      <c r="T296" s="668" t="s">
        <v>39</v>
      </c>
    </row>
    <row r="297" spans="1:20">
      <c r="A297" s="679">
        <v>6421220</v>
      </c>
      <c r="B297" s="677"/>
      <c r="C297" s="672"/>
      <c r="D297" s="672"/>
      <c r="E297" s="676" t="s">
        <v>1143</v>
      </c>
      <c r="F297" s="680" t="s">
        <v>1207</v>
      </c>
      <c r="G297" s="710">
        <v>642</v>
      </c>
      <c r="H297" s="682">
        <v>1220</v>
      </c>
      <c r="J297" s="668" t="str">
        <f t="shared" si="43"/>
        <v>(3) Textbooks/Workbooks</v>
      </c>
      <c r="L297" s="668">
        <v>125</v>
      </c>
      <c r="M297" s="669">
        <v>116</v>
      </c>
      <c r="N297" s="668"/>
      <c r="O297" s="668">
        <v>8</v>
      </c>
      <c r="P297" s="668" t="str">
        <f>IFERROR(VLOOKUP(F297, [2]MOE!B:C, 2, FALSE), "No")</f>
        <v>No</v>
      </c>
      <c r="Q297" s="711" t="s">
        <v>1045</v>
      </c>
      <c r="S297" s="670" t="s">
        <v>1185</v>
      </c>
      <c r="T297" s="668" t="s">
        <v>1048</v>
      </c>
    </row>
    <row r="298" spans="1:20">
      <c r="A298" s="679">
        <v>6001220</v>
      </c>
      <c r="B298" s="677"/>
      <c r="C298" s="672"/>
      <c r="D298" s="672"/>
      <c r="E298" s="676" t="s">
        <v>1145</v>
      </c>
      <c r="F298" s="680" t="s">
        <v>1208</v>
      </c>
      <c r="G298" s="710">
        <v>600</v>
      </c>
      <c r="H298" s="682">
        <v>1220</v>
      </c>
      <c r="J298" s="668" t="str">
        <f t="shared" si="43"/>
        <v>(4) Other Supplies</v>
      </c>
      <c r="L298" s="668">
        <v>126</v>
      </c>
      <c r="M298" s="669">
        <v>117</v>
      </c>
      <c r="N298" s="668"/>
      <c r="O298" s="668">
        <v>8</v>
      </c>
      <c r="P298" s="668" t="str">
        <f>IFERROR(VLOOKUP(F298, [2]MOE!B:C, 2, FALSE), "No")</f>
        <v>No</v>
      </c>
      <c r="Q298" s="711"/>
      <c r="S298" s="670" t="s">
        <v>1185</v>
      </c>
      <c r="T298" s="668" t="s">
        <v>1050</v>
      </c>
    </row>
    <row r="299" spans="1:20">
      <c r="A299" s="671"/>
      <c r="B299" s="677"/>
      <c r="C299" s="672"/>
      <c r="D299" s="672" t="s">
        <v>853</v>
      </c>
      <c r="E299" s="676" t="s">
        <v>1052</v>
      </c>
      <c r="F299" s="675"/>
      <c r="G299" s="672"/>
      <c r="H299" s="676"/>
      <c r="Q299" s="711"/>
      <c r="S299" s="670"/>
    </row>
    <row r="300" spans="1:20">
      <c r="A300" s="679">
        <v>7341220</v>
      </c>
      <c r="B300" s="677"/>
      <c r="C300" s="672"/>
      <c r="D300" s="672"/>
      <c r="E300" s="676" t="s">
        <v>1147</v>
      </c>
      <c r="F300" s="680" t="s">
        <v>1209</v>
      </c>
      <c r="G300" s="710">
        <v>734</v>
      </c>
      <c r="H300" s="682">
        <v>1220</v>
      </c>
      <c r="J300" s="668" t="str">
        <f t="shared" ref="J300:J303" si="44">E300</f>
        <v>(1) Technology-Related Hardware</v>
      </c>
      <c r="L300" s="668">
        <v>131</v>
      </c>
      <c r="M300" s="669">
        <v>122</v>
      </c>
      <c r="N300" s="668"/>
      <c r="O300" s="668">
        <v>8</v>
      </c>
      <c r="P300" s="668" t="str">
        <f>IFERROR(VLOOKUP(F300, [2]MOE!B:C, 2, FALSE), "No")</f>
        <v>No</v>
      </c>
      <c r="Q300" s="711"/>
      <c r="S300" s="670" t="s">
        <v>1185</v>
      </c>
      <c r="T300" s="668" t="s">
        <v>1053</v>
      </c>
    </row>
    <row r="301" spans="1:20">
      <c r="A301" s="679">
        <v>7351220</v>
      </c>
      <c r="B301" s="677"/>
      <c r="C301" s="672"/>
      <c r="D301" s="672"/>
      <c r="E301" s="676" t="s">
        <v>1149</v>
      </c>
      <c r="F301" s="680" t="s">
        <v>1210</v>
      </c>
      <c r="G301" s="710">
        <v>735</v>
      </c>
      <c r="H301" s="682">
        <v>1220</v>
      </c>
      <c r="J301" s="668" t="str">
        <f t="shared" si="44"/>
        <v>(2) Technology Software</v>
      </c>
      <c r="L301" s="668">
        <v>131</v>
      </c>
      <c r="M301" s="669">
        <v>122</v>
      </c>
      <c r="N301" s="668"/>
      <c r="O301" s="668">
        <v>8</v>
      </c>
      <c r="P301" s="668" t="str">
        <f>IFERROR(VLOOKUP(F301, [2]MOE!B:C, 2, FALSE), "No")</f>
        <v>No</v>
      </c>
      <c r="Q301" s="711"/>
      <c r="S301" s="670" t="s">
        <v>1185</v>
      </c>
      <c r="T301" s="668" t="s">
        <v>1055</v>
      </c>
    </row>
    <row r="302" spans="1:20">
      <c r="A302" s="679">
        <v>7301220</v>
      </c>
      <c r="B302" s="677"/>
      <c r="C302" s="672"/>
      <c r="D302" s="672"/>
      <c r="E302" s="676" t="s">
        <v>1151</v>
      </c>
      <c r="F302" s="680" t="s">
        <v>1211</v>
      </c>
      <c r="G302" s="710">
        <v>730</v>
      </c>
      <c r="H302" s="682">
        <v>1220</v>
      </c>
      <c r="J302" s="668" t="str">
        <f t="shared" si="44"/>
        <v>(3) All Other Equipment</v>
      </c>
      <c r="L302" s="668">
        <v>131</v>
      </c>
      <c r="M302" s="669">
        <v>122</v>
      </c>
      <c r="N302" s="668"/>
      <c r="O302" s="668">
        <v>8</v>
      </c>
      <c r="P302" s="668" t="str">
        <f>IFERROR(VLOOKUP(F302, [2]MOE!B:C, 2, FALSE), "No")</f>
        <v>No</v>
      </c>
      <c r="Q302" s="711"/>
      <c r="S302" s="670" t="s">
        <v>1185</v>
      </c>
      <c r="T302" s="668" t="s">
        <v>1057</v>
      </c>
    </row>
    <row r="303" spans="1:20">
      <c r="A303" s="679">
        <v>7001220</v>
      </c>
      <c r="B303" s="677"/>
      <c r="C303" s="672"/>
      <c r="D303" s="672"/>
      <c r="E303" s="676" t="s">
        <v>1153</v>
      </c>
      <c r="F303" s="680" t="s">
        <v>1212</v>
      </c>
      <c r="G303" s="710">
        <v>700</v>
      </c>
      <c r="H303" s="682">
        <v>1220</v>
      </c>
      <c r="J303" s="668" t="str">
        <f t="shared" si="44"/>
        <v>(4) Other Property</v>
      </c>
      <c r="L303" s="668">
        <v>132</v>
      </c>
      <c r="M303" s="669">
        <v>123</v>
      </c>
      <c r="N303" s="668"/>
      <c r="O303" s="668">
        <v>8</v>
      </c>
      <c r="P303" s="668" t="str">
        <f>IFERROR(VLOOKUP(F303, [2]MOE!B:C, 2, FALSE), "No")</f>
        <v>No</v>
      </c>
      <c r="Q303" s="711"/>
      <c r="S303" s="670" t="s">
        <v>1185</v>
      </c>
      <c r="T303" s="668" t="s">
        <v>1059</v>
      </c>
    </row>
    <row r="304" spans="1:20">
      <c r="A304" s="671"/>
      <c r="B304" s="677"/>
      <c r="C304" s="672"/>
      <c r="D304" s="672" t="s">
        <v>856</v>
      </c>
      <c r="E304" s="676" t="s">
        <v>256</v>
      </c>
      <c r="F304" s="675"/>
      <c r="G304" s="672"/>
      <c r="H304" s="676"/>
      <c r="Q304" s="711"/>
      <c r="S304" s="670"/>
    </row>
    <row r="305" spans="1:20">
      <c r="A305" s="679">
        <v>8951220</v>
      </c>
      <c r="B305" s="677"/>
      <c r="C305" s="672"/>
      <c r="D305" s="672"/>
      <c r="E305" s="676" t="s">
        <v>1155</v>
      </c>
      <c r="F305" s="680" t="s">
        <v>1213</v>
      </c>
      <c r="G305" s="710">
        <v>895</v>
      </c>
      <c r="H305" s="682">
        <v>1220</v>
      </c>
      <c r="J305" s="668" t="str">
        <f t="shared" ref="J305:J306" si="45">E305</f>
        <v>(1) Miscellaneous Non-Public Expenditures</v>
      </c>
      <c r="L305" s="668">
        <v>139</v>
      </c>
      <c r="M305" s="669">
        <v>129</v>
      </c>
      <c r="N305" s="668"/>
      <c r="O305" s="668">
        <v>8</v>
      </c>
      <c r="P305" s="668" t="str">
        <f>IFERROR(VLOOKUP(F305, [2]MOE!B:C, 2, FALSE), "No")</f>
        <v>No</v>
      </c>
      <c r="Q305" s="711"/>
      <c r="S305" s="670" t="s">
        <v>1185</v>
      </c>
      <c r="T305" s="668" t="s">
        <v>1061</v>
      </c>
    </row>
    <row r="306" spans="1:20">
      <c r="A306" s="679">
        <v>8001220</v>
      </c>
      <c r="B306" s="677"/>
      <c r="C306" s="672"/>
      <c r="D306" s="672"/>
      <c r="E306" s="676" t="s">
        <v>1157</v>
      </c>
      <c r="F306" s="680" t="s">
        <v>1214</v>
      </c>
      <c r="G306" s="710">
        <v>800</v>
      </c>
      <c r="H306" s="682">
        <v>1220</v>
      </c>
      <c r="J306" s="668" t="str">
        <f t="shared" si="45"/>
        <v>(2) Other Miscellaneous Expenditures</v>
      </c>
      <c r="L306" s="668">
        <v>139</v>
      </c>
      <c r="M306" s="669">
        <v>129</v>
      </c>
      <c r="N306" s="668"/>
      <c r="O306" s="668">
        <v>8</v>
      </c>
      <c r="P306" s="668" t="str">
        <f>IFERROR(VLOOKUP(F306, [2]MOE!B:C, 2, FALSE), "No")</f>
        <v>No</v>
      </c>
      <c r="Q306" s="711"/>
      <c r="S306" s="670" t="s">
        <v>1185</v>
      </c>
      <c r="T306" s="668" t="s">
        <v>1063</v>
      </c>
    </row>
    <row r="307" spans="1:20">
      <c r="A307" s="671"/>
      <c r="B307" s="677"/>
      <c r="C307" s="672"/>
      <c r="D307" s="672" t="s">
        <v>859</v>
      </c>
      <c r="E307" s="676" t="s">
        <v>1065</v>
      </c>
      <c r="F307" s="675"/>
      <c r="G307" s="672"/>
      <c r="H307" s="676"/>
      <c r="Q307" s="711"/>
      <c r="S307" s="670"/>
    </row>
    <row r="308" spans="1:20">
      <c r="A308" s="679">
        <v>2101220</v>
      </c>
      <c r="B308" s="677"/>
      <c r="C308" s="672"/>
      <c r="D308" s="672"/>
      <c r="E308" s="676" t="s">
        <v>1159</v>
      </c>
      <c r="F308" s="680" t="s">
        <v>1215</v>
      </c>
      <c r="G308" s="710">
        <v>210</v>
      </c>
      <c r="H308" s="682">
        <v>1220</v>
      </c>
      <c r="J308" s="668" t="str">
        <f t="shared" ref="J308:J310" si="46">E308</f>
        <v>(1) Group Insurance</v>
      </c>
      <c r="L308" s="668">
        <v>89</v>
      </c>
      <c r="M308" s="669">
        <v>84</v>
      </c>
      <c r="N308" s="668"/>
      <c r="O308" s="668">
        <v>8</v>
      </c>
      <c r="P308" s="668" t="str">
        <f>IFERROR(VLOOKUP(F308, [2]MOE!B:C, 2, FALSE), "No")</f>
        <v>No</v>
      </c>
      <c r="Q308" s="711" t="s">
        <v>1004</v>
      </c>
      <c r="S308" s="670" t="s">
        <v>1185</v>
      </c>
      <c r="T308" s="668" t="s">
        <v>1066</v>
      </c>
    </row>
    <row r="309" spans="1:20">
      <c r="A309" s="679">
        <v>2201220</v>
      </c>
      <c r="B309" s="677"/>
      <c r="C309" s="672"/>
      <c r="D309" s="672"/>
      <c r="E309" s="676" t="s">
        <v>1161</v>
      </c>
      <c r="F309" s="680" t="s">
        <v>1216</v>
      </c>
      <c r="G309" s="710">
        <v>220</v>
      </c>
      <c r="H309" s="682">
        <v>1220</v>
      </c>
      <c r="J309" s="668" t="str">
        <f t="shared" si="46"/>
        <v>(2) FICA</v>
      </c>
      <c r="L309" s="668">
        <v>90</v>
      </c>
      <c r="M309" s="669">
        <v>85</v>
      </c>
      <c r="N309" s="668"/>
      <c r="O309" s="668">
        <v>8</v>
      </c>
      <c r="P309" s="668" t="str">
        <f>IFERROR(VLOOKUP(F309, [2]MOE!B:C, 2, FALSE), "No")</f>
        <v>No</v>
      </c>
      <c r="Q309" s="711" t="s">
        <v>1004</v>
      </c>
      <c r="S309" s="670" t="s">
        <v>1185</v>
      </c>
      <c r="T309" s="668" t="s">
        <v>1068</v>
      </c>
    </row>
    <row r="310" spans="1:20">
      <c r="A310" s="679">
        <v>2251220</v>
      </c>
      <c r="B310" s="677"/>
      <c r="C310" s="672"/>
      <c r="D310" s="672"/>
      <c r="E310" s="676" t="s">
        <v>1163</v>
      </c>
      <c r="F310" s="680" t="s">
        <v>1217</v>
      </c>
      <c r="G310" s="710">
        <v>225</v>
      </c>
      <c r="H310" s="682">
        <v>1220</v>
      </c>
      <c r="J310" s="668" t="str">
        <f t="shared" si="46"/>
        <v>(3) Medicare</v>
      </c>
      <c r="L310" s="668">
        <v>91</v>
      </c>
      <c r="M310" s="669">
        <v>86</v>
      </c>
      <c r="N310" s="668"/>
      <c r="O310" s="668">
        <v>8</v>
      </c>
      <c r="P310" s="668" t="str">
        <f>IFERROR(VLOOKUP(F310, [2]MOE!B:C, 2, FALSE), "No")</f>
        <v>No</v>
      </c>
      <c r="Q310" s="711" t="s">
        <v>1004</v>
      </c>
      <c r="S310" s="670" t="s">
        <v>1185</v>
      </c>
      <c r="T310" s="668" t="s">
        <v>23</v>
      </c>
    </row>
    <row r="311" spans="1:20">
      <c r="A311" s="671"/>
      <c r="B311" s="677"/>
      <c r="C311" s="672"/>
      <c r="D311" s="672"/>
      <c r="E311" s="676" t="s">
        <v>1165</v>
      </c>
      <c r="F311" s="675"/>
      <c r="G311" s="672"/>
      <c r="H311" s="676"/>
      <c r="Q311" s="711"/>
      <c r="S311" s="670"/>
    </row>
    <row r="312" spans="1:20">
      <c r="A312" s="679">
        <v>2311220</v>
      </c>
      <c r="B312" s="677"/>
      <c r="C312" s="672"/>
      <c r="D312" s="672"/>
      <c r="E312" s="676" t="s">
        <v>1166</v>
      </c>
      <c r="F312" s="680" t="s">
        <v>1218</v>
      </c>
      <c r="G312" s="710">
        <v>231</v>
      </c>
      <c r="H312" s="682">
        <v>1220</v>
      </c>
      <c r="J312" s="668" t="str">
        <f t="shared" ref="J312:J320" si="47">E312</f>
        <v>(a) Louisiana Teachers Retirement</v>
      </c>
      <c r="L312" s="668">
        <v>92</v>
      </c>
      <c r="M312" s="669">
        <v>87</v>
      </c>
      <c r="N312" s="668"/>
      <c r="O312" s="668">
        <v>8</v>
      </c>
      <c r="P312" s="668" t="str">
        <f>IFERROR(VLOOKUP(F312, [2]MOE!B:C, 2, FALSE), "No")</f>
        <v>No</v>
      </c>
      <c r="Q312" s="711" t="s">
        <v>1004</v>
      </c>
      <c r="S312" s="670" t="s">
        <v>1185</v>
      </c>
      <c r="T312" s="668" t="s">
        <v>1074</v>
      </c>
    </row>
    <row r="313" spans="1:20">
      <c r="A313" s="679">
        <v>2331220</v>
      </c>
      <c r="B313" s="677"/>
      <c r="C313" s="672"/>
      <c r="D313" s="672"/>
      <c r="E313" s="676" t="s">
        <v>1168</v>
      </c>
      <c r="F313" s="680" t="s">
        <v>1219</v>
      </c>
      <c r="G313" s="710">
        <v>233</v>
      </c>
      <c r="H313" s="682">
        <v>1220</v>
      </c>
      <c r="J313" s="668" t="str">
        <f t="shared" si="47"/>
        <v>(b) Louisiana School Emp. Retirement</v>
      </c>
      <c r="L313" s="668">
        <v>92</v>
      </c>
      <c r="M313" s="669">
        <v>87</v>
      </c>
      <c r="N313" s="668"/>
      <c r="O313" s="668">
        <v>8</v>
      </c>
      <c r="P313" s="668" t="str">
        <f>IFERROR(VLOOKUP(F313, [2]MOE!B:C, 2, FALSE), "No")</f>
        <v>No</v>
      </c>
      <c r="Q313" s="711" t="s">
        <v>1004</v>
      </c>
      <c r="S313" s="670" t="s">
        <v>1185</v>
      </c>
      <c r="T313" s="668" t="s">
        <v>1170</v>
      </c>
    </row>
    <row r="314" spans="1:20">
      <c r="A314" s="679">
        <v>2391220</v>
      </c>
      <c r="B314" s="677"/>
      <c r="C314" s="672"/>
      <c r="D314" s="672"/>
      <c r="E314" s="676" t="s">
        <v>1171</v>
      </c>
      <c r="F314" s="680" t="s">
        <v>1220</v>
      </c>
      <c r="G314" s="710">
        <v>239</v>
      </c>
      <c r="H314" s="682">
        <v>1220</v>
      </c>
      <c r="J314" s="668" t="str">
        <f t="shared" si="47"/>
        <v>(c) Other Retirement</v>
      </c>
      <c r="L314" s="668">
        <v>92</v>
      </c>
      <c r="M314" s="669">
        <v>87</v>
      </c>
      <c r="N314" s="668"/>
      <c r="O314" s="668">
        <v>8</v>
      </c>
      <c r="P314" s="668" t="str">
        <f>IFERROR(VLOOKUP(F314, [2]MOE!B:C, 2, FALSE), "No")</f>
        <v>No</v>
      </c>
      <c r="Q314" s="711" t="s">
        <v>1004</v>
      </c>
      <c r="S314" s="670" t="s">
        <v>1185</v>
      </c>
      <c r="T314" s="668" t="s">
        <v>1080</v>
      </c>
    </row>
    <row r="315" spans="1:20">
      <c r="A315" s="679">
        <v>2501220</v>
      </c>
      <c r="B315" s="677"/>
      <c r="C315" s="672"/>
      <c r="D315" s="672"/>
      <c r="E315" s="676" t="s">
        <v>1173</v>
      </c>
      <c r="F315" s="680" t="s">
        <v>1221</v>
      </c>
      <c r="G315" s="710">
        <v>250</v>
      </c>
      <c r="H315" s="682">
        <v>1220</v>
      </c>
      <c r="J315" s="668" t="str">
        <f t="shared" si="47"/>
        <v>(5) Unemployment Compensation</v>
      </c>
      <c r="L315" s="668">
        <v>93</v>
      </c>
      <c r="M315" s="669">
        <v>88</v>
      </c>
      <c r="N315" s="668"/>
      <c r="O315" s="668">
        <v>8</v>
      </c>
      <c r="P315" s="668" t="str">
        <f>IFERROR(VLOOKUP(F315, [2]MOE!B:C, 2, FALSE), "No")</f>
        <v>No</v>
      </c>
      <c r="Q315" s="711" t="s">
        <v>1004</v>
      </c>
      <c r="S315" s="670" t="s">
        <v>1185</v>
      </c>
      <c r="T315" s="668" t="s">
        <v>1081</v>
      </c>
    </row>
    <row r="316" spans="1:20">
      <c r="A316" s="679">
        <v>2601220</v>
      </c>
      <c r="B316" s="677"/>
      <c r="C316" s="672"/>
      <c r="D316" s="672"/>
      <c r="E316" s="676" t="s">
        <v>1175</v>
      </c>
      <c r="F316" s="680" t="s">
        <v>1222</v>
      </c>
      <c r="G316" s="710">
        <v>260</v>
      </c>
      <c r="H316" s="682">
        <v>1220</v>
      </c>
      <c r="J316" s="668" t="str">
        <f t="shared" si="47"/>
        <v>(6) Workmen's Compensation</v>
      </c>
      <c r="L316" s="668">
        <v>95</v>
      </c>
      <c r="M316" s="669">
        <v>90</v>
      </c>
      <c r="N316" s="668"/>
      <c r="O316" s="668">
        <v>8</v>
      </c>
      <c r="P316" s="668" t="str">
        <f>IFERROR(VLOOKUP(F316, [2]MOE!B:C, 2, FALSE), "No")</f>
        <v>No</v>
      </c>
      <c r="Q316" s="711" t="s">
        <v>1004</v>
      </c>
      <c r="S316" s="670" t="s">
        <v>1185</v>
      </c>
      <c r="T316" s="668" t="s">
        <v>1083</v>
      </c>
    </row>
    <row r="317" spans="1:20">
      <c r="A317" s="679">
        <v>2701220</v>
      </c>
      <c r="B317" s="677"/>
      <c r="C317" s="672"/>
      <c r="D317" s="672"/>
      <c r="E317" s="676" t="s">
        <v>1177</v>
      </c>
      <c r="F317" s="680" t="s">
        <v>1223</v>
      </c>
      <c r="G317" s="710">
        <v>270</v>
      </c>
      <c r="H317" s="682">
        <v>1220</v>
      </c>
      <c r="J317" s="668" t="str">
        <f t="shared" si="47"/>
        <v>(7) Health Benefits (retirees)</v>
      </c>
      <c r="L317" s="668">
        <v>94</v>
      </c>
      <c r="M317" s="669">
        <v>89</v>
      </c>
      <c r="N317" s="668"/>
      <c r="O317" s="668">
        <v>8</v>
      </c>
      <c r="P317" s="668" t="str">
        <f>IFERROR(VLOOKUP(F317, [2]MOE!B:C, 2, FALSE), "No")</f>
        <v>No</v>
      </c>
      <c r="Q317" s="711" t="s">
        <v>1004</v>
      </c>
      <c r="S317" s="670" t="s">
        <v>1185</v>
      </c>
      <c r="T317" s="668" t="s">
        <v>1085</v>
      </c>
    </row>
    <row r="318" spans="1:20">
      <c r="A318" s="679">
        <v>2811220</v>
      </c>
      <c r="B318" s="677"/>
      <c r="C318" s="672"/>
      <c r="D318" s="672"/>
      <c r="E318" s="676" t="s">
        <v>1179</v>
      </c>
      <c r="F318" s="680" t="s">
        <v>1224</v>
      </c>
      <c r="G318" s="710">
        <v>281</v>
      </c>
      <c r="H318" s="682">
        <v>1220</v>
      </c>
      <c r="J318" s="668" t="str">
        <f t="shared" si="47"/>
        <v>(8) Sick Leave Severance Pay</v>
      </c>
      <c r="L318" s="668">
        <v>95</v>
      </c>
      <c r="M318" s="669">
        <v>90</v>
      </c>
      <c r="N318" s="668"/>
      <c r="O318" s="668">
        <v>8</v>
      </c>
      <c r="P318" s="668" t="str">
        <f>IFERROR(VLOOKUP(F318, [2]MOE!B:C, 2, FALSE), "No")</f>
        <v>No</v>
      </c>
      <c r="Q318" s="711" t="s">
        <v>1004</v>
      </c>
      <c r="S318" s="670" t="s">
        <v>1185</v>
      </c>
      <c r="T318" s="668" t="s">
        <v>1087</v>
      </c>
    </row>
    <row r="319" spans="1:20">
      <c r="A319" s="679">
        <v>2821220</v>
      </c>
      <c r="B319" s="677"/>
      <c r="C319" s="672"/>
      <c r="D319" s="672"/>
      <c r="E319" s="676" t="s">
        <v>1181</v>
      </c>
      <c r="F319" s="680" t="s">
        <v>1225</v>
      </c>
      <c r="G319" s="710">
        <v>282</v>
      </c>
      <c r="H319" s="682">
        <v>1220</v>
      </c>
      <c r="J319" s="668" t="str">
        <f t="shared" si="47"/>
        <v>(9) Annual Leave Severance Pay</v>
      </c>
      <c r="L319" s="668">
        <v>95</v>
      </c>
      <c r="M319" s="669">
        <v>90</v>
      </c>
      <c r="N319" s="668"/>
      <c r="O319" s="668">
        <v>8</v>
      </c>
      <c r="P319" s="668" t="str">
        <f>IFERROR(VLOOKUP(F319, [2]MOE!B:C, 2, FALSE), "No")</f>
        <v>No</v>
      </c>
      <c r="Q319" s="711" t="s">
        <v>1004</v>
      </c>
      <c r="S319" s="670" t="s">
        <v>1185</v>
      </c>
      <c r="T319" s="668" t="s">
        <v>1089</v>
      </c>
    </row>
    <row r="320" spans="1:20" ht="16" thickBot="1">
      <c r="A320" s="679">
        <v>2901220</v>
      </c>
      <c r="B320" s="716"/>
      <c r="C320" s="672"/>
      <c r="D320" s="672"/>
      <c r="E320" s="676" t="s">
        <v>1183</v>
      </c>
      <c r="F320" s="680" t="s">
        <v>1226</v>
      </c>
      <c r="G320" s="710">
        <v>290</v>
      </c>
      <c r="H320" s="682">
        <v>1220</v>
      </c>
      <c r="J320" s="668" t="str">
        <f t="shared" si="47"/>
        <v>(10) Other Employee Benefits</v>
      </c>
      <c r="L320" s="668">
        <v>95</v>
      </c>
      <c r="M320" s="669">
        <v>90</v>
      </c>
      <c r="N320" s="668"/>
      <c r="O320" s="668">
        <v>8</v>
      </c>
      <c r="P320" s="668" t="str">
        <f>IFERROR(VLOOKUP(F320, [2]MOE!B:C, 2, FALSE), "No")</f>
        <v>No</v>
      </c>
      <c r="Q320" s="711" t="s">
        <v>1004</v>
      </c>
      <c r="S320" s="670" t="s">
        <v>1185</v>
      </c>
      <c r="T320" s="668" t="s">
        <v>1092</v>
      </c>
    </row>
    <row r="321" spans="1:20" ht="16.5" thickTop="1" thickBot="1">
      <c r="A321" s="671"/>
      <c r="B321" s="663"/>
      <c r="C321" s="929" t="s">
        <v>1227</v>
      </c>
      <c r="D321" s="930"/>
      <c r="E321" s="932"/>
      <c r="F321" s="705" t="s">
        <v>622</v>
      </c>
      <c r="G321" s="706"/>
      <c r="H321" s="707"/>
      <c r="Q321" s="711"/>
      <c r="S321" s="670"/>
    </row>
    <row r="322" spans="1:20" ht="16" thickTop="1">
      <c r="A322" s="671"/>
      <c r="B322" s="672"/>
      <c r="C322" s="677"/>
      <c r="D322" s="672"/>
      <c r="E322" s="676"/>
      <c r="F322" s="675"/>
      <c r="G322" s="672"/>
      <c r="H322" s="676"/>
      <c r="Q322" s="711"/>
      <c r="S322" s="670"/>
    </row>
    <row r="323" spans="1:20">
      <c r="A323" s="671"/>
      <c r="B323" s="677" t="s">
        <v>1228</v>
      </c>
      <c r="C323" s="928" t="s">
        <v>1229</v>
      </c>
      <c r="D323" s="795"/>
      <c r="E323" s="926"/>
      <c r="F323" s="675"/>
      <c r="G323" s="672"/>
      <c r="H323" s="676"/>
      <c r="Q323" s="711"/>
      <c r="S323" s="670"/>
    </row>
    <row r="324" spans="1:20">
      <c r="A324" s="671"/>
      <c r="B324" s="677"/>
      <c r="C324" s="678">
        <v>11</v>
      </c>
      <c r="D324" s="927" t="s">
        <v>244</v>
      </c>
      <c r="E324" s="926"/>
      <c r="F324" s="675"/>
      <c r="G324" s="672"/>
      <c r="H324" s="676"/>
      <c r="Q324" s="711"/>
      <c r="S324" s="670"/>
    </row>
    <row r="325" spans="1:20">
      <c r="A325" s="679">
        <v>1121310</v>
      </c>
      <c r="B325" s="677"/>
      <c r="C325" s="672"/>
      <c r="D325" s="672" t="s">
        <v>759</v>
      </c>
      <c r="E325" s="676" t="s">
        <v>1230</v>
      </c>
      <c r="F325" s="680" t="s">
        <v>1231</v>
      </c>
      <c r="G325" s="710">
        <v>112</v>
      </c>
      <c r="H325" s="682">
        <v>1310</v>
      </c>
      <c r="J325" s="668" t="str">
        <f t="shared" ref="J325:J335" si="48">E325</f>
        <v>Agriculture Teachers</v>
      </c>
      <c r="L325" s="668">
        <v>82</v>
      </c>
      <c r="M325" s="669">
        <v>77</v>
      </c>
      <c r="N325" s="668"/>
      <c r="O325" s="668">
        <v>9</v>
      </c>
      <c r="P325" s="668" t="str">
        <f>IFERROR(VLOOKUP(F325, [2]MOE!B:C, 2, FALSE), "No")</f>
        <v>No</v>
      </c>
      <c r="Q325" s="711" t="s">
        <v>1004</v>
      </c>
      <c r="S325" s="670" t="s">
        <v>1232</v>
      </c>
      <c r="T325" s="668" t="s">
        <v>1230</v>
      </c>
    </row>
    <row r="326" spans="1:20">
      <c r="A326" s="679">
        <v>1121340</v>
      </c>
      <c r="B326" s="677"/>
      <c r="C326" s="672"/>
      <c r="D326" s="672" t="s">
        <v>777</v>
      </c>
      <c r="E326" s="676" t="s">
        <v>1233</v>
      </c>
      <c r="F326" s="680" t="s">
        <v>1234</v>
      </c>
      <c r="G326" s="710">
        <v>112</v>
      </c>
      <c r="H326" s="682">
        <v>1340</v>
      </c>
      <c r="J326" s="668" t="str">
        <f t="shared" si="48"/>
        <v>Family &amp; Consumer Science Teachers</v>
      </c>
      <c r="L326" s="668">
        <v>82</v>
      </c>
      <c r="M326" s="669">
        <v>77</v>
      </c>
      <c r="N326" s="668"/>
      <c r="O326" s="668">
        <v>9</v>
      </c>
      <c r="P326" s="668" t="str">
        <f>IFERROR(VLOOKUP(F326, [2]MOE!B:C, 2, FALSE), "No")</f>
        <v>No</v>
      </c>
      <c r="Q326" s="711" t="s">
        <v>1004</v>
      </c>
      <c r="S326" s="670" t="s">
        <v>1232</v>
      </c>
      <c r="T326" s="668" t="s">
        <v>1233</v>
      </c>
    </row>
    <row r="327" spans="1:20">
      <c r="A327" s="679">
        <v>1121350</v>
      </c>
      <c r="B327" s="677"/>
      <c r="C327" s="672"/>
      <c r="D327" s="672" t="s">
        <v>801</v>
      </c>
      <c r="E327" s="676" t="s">
        <v>1235</v>
      </c>
      <c r="F327" s="680" t="s">
        <v>1236</v>
      </c>
      <c r="G327" s="710">
        <v>112</v>
      </c>
      <c r="H327" s="682">
        <v>1350</v>
      </c>
      <c r="J327" s="668" t="str">
        <f t="shared" si="48"/>
        <v>Trade &amp; Industry Program Teachers</v>
      </c>
      <c r="L327" s="668">
        <v>82</v>
      </c>
      <c r="M327" s="669">
        <v>77</v>
      </c>
      <c r="N327" s="668"/>
      <c r="O327" s="668">
        <v>9</v>
      </c>
      <c r="P327" s="668" t="str">
        <f>IFERROR(VLOOKUP(F327, [2]MOE!B:C, 2, FALSE), "No")</f>
        <v>No</v>
      </c>
      <c r="Q327" s="711" t="s">
        <v>1004</v>
      </c>
      <c r="S327" s="670" t="s">
        <v>1232</v>
      </c>
      <c r="T327" s="668" t="s">
        <v>1235</v>
      </c>
    </row>
    <row r="328" spans="1:20">
      <c r="A328" s="679">
        <v>1121360</v>
      </c>
      <c r="B328" s="677"/>
      <c r="C328" s="672"/>
      <c r="D328" s="672" t="s">
        <v>805</v>
      </c>
      <c r="E328" s="676" t="s">
        <v>1237</v>
      </c>
      <c r="F328" s="680" t="s">
        <v>1238</v>
      </c>
      <c r="G328" s="710">
        <v>112</v>
      </c>
      <c r="H328" s="682">
        <v>1360</v>
      </c>
      <c r="J328" s="668" t="str">
        <f t="shared" si="48"/>
        <v>Business &amp; Admin. Program Teachers</v>
      </c>
      <c r="L328" s="668">
        <v>82</v>
      </c>
      <c r="M328" s="669">
        <v>77</v>
      </c>
      <c r="N328" s="668"/>
      <c r="O328" s="668">
        <v>9</v>
      </c>
      <c r="P328" s="668" t="str">
        <f>IFERROR(VLOOKUP(F328, [2]MOE!B:C, 2, FALSE), "No")</f>
        <v>No</v>
      </c>
      <c r="Q328" s="711" t="s">
        <v>1004</v>
      </c>
      <c r="S328" s="670" t="s">
        <v>1232</v>
      </c>
      <c r="T328" s="668" t="s">
        <v>1237</v>
      </c>
    </row>
    <row r="329" spans="1:20">
      <c r="A329" s="679">
        <v>1121370</v>
      </c>
      <c r="B329" s="677"/>
      <c r="C329" s="672"/>
      <c r="D329" s="672" t="s">
        <v>850</v>
      </c>
      <c r="E329" s="676" t="s">
        <v>1239</v>
      </c>
      <c r="F329" s="680" t="s">
        <v>1240</v>
      </c>
      <c r="G329" s="710">
        <v>112</v>
      </c>
      <c r="H329" s="682">
        <v>1370</v>
      </c>
      <c r="J329" s="668" t="str">
        <f t="shared" si="48"/>
        <v>Health Science Program Teachers</v>
      </c>
      <c r="L329" s="668">
        <v>82</v>
      </c>
      <c r="M329" s="669">
        <v>77</v>
      </c>
      <c r="N329" s="668"/>
      <c r="O329" s="668">
        <v>9</v>
      </c>
      <c r="P329" s="668" t="str">
        <f>IFERROR(VLOOKUP(F329, [2]MOE!B:C, 2, FALSE), "No")</f>
        <v>No</v>
      </c>
      <c r="Q329" s="711" t="s">
        <v>1004</v>
      </c>
      <c r="S329" s="670" t="s">
        <v>1232</v>
      </c>
      <c r="T329" s="668" t="s">
        <v>1239</v>
      </c>
    </row>
    <row r="330" spans="1:20">
      <c r="A330" s="679">
        <v>1121390</v>
      </c>
      <c r="B330" s="677"/>
      <c r="C330" s="672"/>
      <c r="D330" s="672" t="s">
        <v>853</v>
      </c>
      <c r="E330" s="676" t="s">
        <v>1241</v>
      </c>
      <c r="F330" s="680" t="s">
        <v>1242</v>
      </c>
      <c r="G330" s="710">
        <v>112</v>
      </c>
      <c r="H330" s="682">
        <v>1390</v>
      </c>
      <c r="J330" s="668" t="str">
        <f t="shared" si="48"/>
        <v>Other Career/Tech. Ed. Program Teachers</v>
      </c>
      <c r="L330" s="668">
        <v>82</v>
      </c>
      <c r="M330" s="669">
        <v>77</v>
      </c>
      <c r="N330" s="668"/>
      <c r="O330" s="668">
        <v>9</v>
      </c>
      <c r="P330" s="668" t="str">
        <f>IFERROR(VLOOKUP(F330, [2]MOE!B:C, 2, FALSE), "No")</f>
        <v>No</v>
      </c>
      <c r="Q330" s="711" t="s">
        <v>1004</v>
      </c>
      <c r="S330" s="670" t="s">
        <v>1232</v>
      </c>
      <c r="T330" s="668" t="s">
        <v>1241</v>
      </c>
    </row>
    <row r="331" spans="1:20">
      <c r="A331" s="679">
        <v>1151300</v>
      </c>
      <c r="B331" s="677"/>
      <c r="C331" s="672"/>
      <c r="D331" s="672" t="s">
        <v>856</v>
      </c>
      <c r="E331" s="676" t="s">
        <v>1102</v>
      </c>
      <c r="F331" s="680" t="s">
        <v>1243</v>
      </c>
      <c r="G331" s="710">
        <v>115</v>
      </c>
      <c r="H331" s="682">
        <v>1300</v>
      </c>
      <c r="J331" s="668" t="str">
        <f t="shared" si="48"/>
        <v>Para-professionals (Aides)</v>
      </c>
      <c r="L331" s="668">
        <v>86</v>
      </c>
      <c r="M331" s="669">
        <v>81</v>
      </c>
      <c r="N331" s="668"/>
      <c r="O331" s="668">
        <v>9</v>
      </c>
      <c r="P331" s="668" t="str">
        <f>IFERROR(VLOOKUP(F331, [2]MOE!B:C, 2, FALSE), "No")</f>
        <v>No</v>
      </c>
      <c r="Q331" s="711" t="s">
        <v>1004</v>
      </c>
      <c r="S331" s="670" t="s">
        <v>1232</v>
      </c>
      <c r="T331" s="668" t="s">
        <v>1102</v>
      </c>
    </row>
    <row r="332" spans="1:20">
      <c r="A332" s="679">
        <v>1231300</v>
      </c>
      <c r="B332" s="677"/>
      <c r="C332" s="672"/>
      <c r="D332" s="672" t="s">
        <v>859</v>
      </c>
      <c r="E332" s="676" t="s">
        <v>1105</v>
      </c>
      <c r="F332" s="680" t="s">
        <v>1244</v>
      </c>
      <c r="G332" s="710">
        <v>123</v>
      </c>
      <c r="H332" s="682">
        <v>1300</v>
      </c>
      <c r="J332" s="668" t="str">
        <f t="shared" si="48"/>
        <v>Substitute Teachers</v>
      </c>
      <c r="L332" s="668">
        <v>86</v>
      </c>
      <c r="M332" s="669">
        <v>81</v>
      </c>
      <c r="N332" s="668"/>
      <c r="O332" s="668">
        <v>9</v>
      </c>
      <c r="P332" s="668" t="str">
        <f>IFERROR(VLOOKUP(F332, [2]MOE!B:C, 2, FALSE), "No")</f>
        <v>No</v>
      </c>
      <c r="Q332" s="711" t="s">
        <v>1004</v>
      </c>
      <c r="S332" s="670" t="s">
        <v>1232</v>
      </c>
      <c r="T332" s="668" t="s">
        <v>1105</v>
      </c>
    </row>
    <row r="333" spans="1:20">
      <c r="A333" s="679">
        <v>1201300</v>
      </c>
      <c r="B333" s="677"/>
      <c r="C333" s="672"/>
      <c r="D333" s="672" t="s">
        <v>862</v>
      </c>
      <c r="E333" s="676" t="s">
        <v>1108</v>
      </c>
      <c r="F333" s="680" t="s">
        <v>1245</v>
      </c>
      <c r="G333" s="710">
        <v>120</v>
      </c>
      <c r="H333" s="682">
        <v>1300</v>
      </c>
      <c r="J333" s="668" t="str">
        <f t="shared" si="48"/>
        <v>Other Substitute/Temp. Employees</v>
      </c>
      <c r="L333" s="668">
        <v>86</v>
      </c>
      <c r="M333" s="669">
        <v>81</v>
      </c>
      <c r="N333" s="668"/>
      <c r="O333" s="668">
        <v>9</v>
      </c>
      <c r="P333" s="668" t="str">
        <f>IFERROR(VLOOKUP(F333, [2]MOE!B:C, 2, FALSE), "No")</f>
        <v>No</v>
      </c>
      <c r="Q333" s="711" t="s">
        <v>1004</v>
      </c>
      <c r="S333" s="670" t="s">
        <v>1232</v>
      </c>
      <c r="T333" s="668" t="s">
        <v>1108</v>
      </c>
    </row>
    <row r="334" spans="1:20">
      <c r="A334" s="679">
        <v>1001300</v>
      </c>
      <c r="B334" s="677"/>
      <c r="C334" s="672"/>
      <c r="D334" s="672" t="s">
        <v>1091</v>
      </c>
      <c r="E334" s="676" t="s">
        <v>1017</v>
      </c>
      <c r="F334" s="680" t="s">
        <v>1246</v>
      </c>
      <c r="G334" s="710">
        <v>100</v>
      </c>
      <c r="H334" s="682">
        <v>1300</v>
      </c>
      <c r="J334" s="668" t="str">
        <f t="shared" si="48"/>
        <v>Other Instructional Salaries</v>
      </c>
      <c r="L334" s="668">
        <v>86</v>
      </c>
      <c r="M334" s="669">
        <v>81</v>
      </c>
      <c r="N334" s="668"/>
      <c r="O334" s="668">
        <v>9</v>
      </c>
      <c r="P334" s="668" t="str">
        <f>IFERROR(VLOOKUP(F334, [2]MOE!B:C, 2, FALSE), "No")</f>
        <v>No</v>
      </c>
      <c r="Q334" s="711" t="s">
        <v>1004</v>
      </c>
      <c r="S334" s="670" t="s">
        <v>1232</v>
      </c>
      <c r="T334" s="668" t="s">
        <v>1017</v>
      </c>
    </row>
    <row r="335" spans="1:20">
      <c r="A335" s="679">
        <v>1401300</v>
      </c>
      <c r="B335" s="677"/>
      <c r="C335" s="672"/>
      <c r="D335" s="672" t="s">
        <v>1247</v>
      </c>
      <c r="E335" s="676" t="s">
        <v>1019</v>
      </c>
      <c r="F335" s="680" t="s">
        <v>1248</v>
      </c>
      <c r="G335" s="710">
        <v>140</v>
      </c>
      <c r="H335" s="682">
        <v>1300</v>
      </c>
      <c r="J335" s="668" t="str">
        <f t="shared" si="48"/>
        <v>Sabbatical Leave</v>
      </c>
      <c r="L335" s="668">
        <v>86</v>
      </c>
      <c r="M335" s="669">
        <v>81</v>
      </c>
      <c r="N335" s="668"/>
      <c r="O335" s="668">
        <v>9</v>
      </c>
      <c r="P335" s="668" t="str">
        <f>IFERROR(VLOOKUP(F335, [2]MOE!B:C, 2, FALSE), "No")</f>
        <v>No</v>
      </c>
      <c r="Q335" s="711" t="s">
        <v>1004</v>
      </c>
      <c r="S335" s="670" t="s">
        <v>1232</v>
      </c>
      <c r="T335" s="668" t="s">
        <v>1019</v>
      </c>
    </row>
    <row r="336" spans="1:20">
      <c r="A336" s="679">
        <v>3001300</v>
      </c>
      <c r="B336" s="677"/>
      <c r="C336" s="678">
        <v>12</v>
      </c>
      <c r="D336" s="927" t="s">
        <v>1113</v>
      </c>
      <c r="E336" s="926"/>
      <c r="F336" s="680" t="s">
        <v>1249</v>
      </c>
      <c r="G336" s="710">
        <v>300</v>
      </c>
      <c r="H336" s="682">
        <v>1300</v>
      </c>
      <c r="J336" s="668" t="str">
        <f>D336</f>
        <v>Purchased Professional and Technical Svcs</v>
      </c>
      <c r="L336" s="668">
        <v>101</v>
      </c>
      <c r="M336" s="669">
        <v>96</v>
      </c>
      <c r="N336" s="668"/>
      <c r="O336" s="668">
        <v>9</v>
      </c>
      <c r="P336" s="668" t="str">
        <f>IFERROR(VLOOKUP(F336, [2]MOE!B:C, 2, FALSE), "No")</f>
        <v>No</v>
      </c>
      <c r="Q336" s="711"/>
      <c r="S336" s="670" t="s">
        <v>1232</v>
      </c>
      <c r="T336" s="668" t="s">
        <v>1113</v>
      </c>
    </row>
    <row r="337" spans="1:20">
      <c r="A337" s="671"/>
      <c r="B337" s="677"/>
      <c r="C337" s="678">
        <v>13</v>
      </c>
      <c r="D337" s="927" t="s">
        <v>250</v>
      </c>
      <c r="E337" s="926"/>
      <c r="F337" s="675"/>
      <c r="G337" s="672"/>
      <c r="H337" s="676"/>
      <c r="Q337" s="711"/>
      <c r="S337" s="670"/>
    </row>
    <row r="338" spans="1:20">
      <c r="A338" s="679">
        <v>4301300</v>
      </c>
      <c r="B338" s="677"/>
      <c r="C338" s="672"/>
      <c r="D338" s="672" t="s">
        <v>759</v>
      </c>
      <c r="E338" s="676" t="s">
        <v>1023</v>
      </c>
      <c r="F338" s="680" t="s">
        <v>1250</v>
      </c>
      <c r="G338" s="710">
        <v>430</v>
      </c>
      <c r="H338" s="682">
        <v>1300</v>
      </c>
      <c r="J338" s="668" t="str">
        <f t="shared" ref="J338:J340" si="49">E338</f>
        <v>Repairs and Maintenance Services</v>
      </c>
      <c r="L338" s="668">
        <v>107</v>
      </c>
      <c r="M338" s="669">
        <v>102</v>
      </c>
      <c r="N338" s="668"/>
      <c r="O338" s="668">
        <v>9</v>
      </c>
      <c r="P338" s="668" t="str">
        <f>IFERROR(VLOOKUP(F338, [2]MOE!B:C, 2, FALSE), "No")</f>
        <v>No</v>
      </c>
      <c r="Q338" s="711"/>
      <c r="S338" s="670" t="s">
        <v>1232</v>
      </c>
      <c r="T338" s="668" t="s">
        <v>1023</v>
      </c>
    </row>
    <row r="339" spans="1:20">
      <c r="A339" s="679">
        <v>4421300</v>
      </c>
      <c r="B339" s="677"/>
      <c r="C339" s="672"/>
      <c r="D339" s="672" t="s">
        <v>777</v>
      </c>
      <c r="E339" s="676" t="s">
        <v>1025</v>
      </c>
      <c r="F339" s="680" t="s">
        <v>1251</v>
      </c>
      <c r="G339" s="710">
        <v>442</v>
      </c>
      <c r="H339" s="682">
        <v>1300</v>
      </c>
      <c r="J339" s="668" t="str">
        <f t="shared" si="49"/>
        <v>Rental of Equipment</v>
      </c>
      <c r="L339" s="668">
        <v>106</v>
      </c>
      <c r="M339" s="669">
        <v>101</v>
      </c>
      <c r="N339" s="668"/>
      <c r="O339" s="668">
        <v>9</v>
      </c>
      <c r="P339" s="668" t="str">
        <f>IFERROR(VLOOKUP(F339, [2]MOE!B:C, 2, FALSE), "No")</f>
        <v>No</v>
      </c>
      <c r="Q339" s="711"/>
      <c r="S339" s="670" t="s">
        <v>1232</v>
      </c>
      <c r="T339" s="668" t="s">
        <v>1025</v>
      </c>
    </row>
    <row r="340" spans="1:20">
      <c r="A340" s="679">
        <v>4001300</v>
      </c>
      <c r="B340" s="677"/>
      <c r="C340" s="672"/>
      <c r="D340" s="672" t="s">
        <v>801</v>
      </c>
      <c r="E340" s="676" t="s">
        <v>1027</v>
      </c>
      <c r="F340" s="680" t="s">
        <v>1252</v>
      </c>
      <c r="G340" s="710">
        <v>400</v>
      </c>
      <c r="H340" s="682">
        <v>1300</v>
      </c>
      <c r="J340" s="668" t="str">
        <f t="shared" si="49"/>
        <v>Other Purchased Property Services</v>
      </c>
      <c r="L340" s="668">
        <v>108</v>
      </c>
      <c r="M340" s="669">
        <v>103</v>
      </c>
      <c r="N340" s="668"/>
      <c r="O340" s="668">
        <v>9</v>
      </c>
      <c r="P340" s="668" t="str">
        <f>IFERROR(VLOOKUP(F340, [2]MOE!B:C, 2, FALSE), "No")</f>
        <v>No</v>
      </c>
      <c r="Q340" s="711"/>
      <c r="S340" s="670" t="s">
        <v>1232</v>
      </c>
      <c r="T340" s="668" t="s">
        <v>1027</v>
      </c>
    </row>
    <row r="341" spans="1:20">
      <c r="A341" s="671"/>
      <c r="B341" s="677"/>
      <c r="C341" s="678">
        <v>14</v>
      </c>
      <c r="D341" s="927" t="s">
        <v>252</v>
      </c>
      <c r="E341" s="926"/>
      <c r="F341" s="675"/>
      <c r="G341" s="672"/>
      <c r="H341" s="676"/>
      <c r="Q341" s="711"/>
      <c r="S341" s="670"/>
    </row>
    <row r="342" spans="1:20">
      <c r="A342" s="671"/>
      <c r="B342" s="677"/>
      <c r="C342" s="672"/>
      <c r="D342" s="672" t="s">
        <v>759</v>
      </c>
      <c r="E342" s="676" t="s">
        <v>1029</v>
      </c>
      <c r="F342" s="675"/>
      <c r="G342" s="672"/>
      <c r="H342" s="676"/>
      <c r="Q342" s="711"/>
      <c r="S342" s="670"/>
    </row>
    <row r="343" spans="1:20">
      <c r="A343" s="679">
        <v>5611300</v>
      </c>
      <c r="B343" s="677"/>
      <c r="C343" s="672"/>
      <c r="D343" s="672"/>
      <c r="E343" s="676" t="s">
        <v>1253</v>
      </c>
      <c r="F343" s="680" t="s">
        <v>1254</v>
      </c>
      <c r="G343" s="710">
        <v>561</v>
      </c>
      <c r="H343" s="682">
        <v>1300</v>
      </c>
      <c r="J343" s="668" t="str">
        <f t="shared" ref="J343:J348" si="50">E343</f>
        <v>(1) Paid to Other LEAs (In-State)</v>
      </c>
      <c r="L343" s="668">
        <v>119</v>
      </c>
      <c r="M343" s="669">
        <v>110</v>
      </c>
      <c r="N343" s="668"/>
      <c r="O343" s="668">
        <v>9</v>
      </c>
      <c r="P343" s="668" t="str">
        <f>IFERROR(VLOOKUP(F343, [2]MOE!B:C, 2, FALSE), "No")</f>
        <v>No</v>
      </c>
      <c r="Q343" s="711"/>
      <c r="S343" s="670" t="s">
        <v>1232</v>
      </c>
      <c r="T343" s="668" t="s">
        <v>1198</v>
      </c>
    </row>
    <row r="344" spans="1:20">
      <c r="A344" s="679">
        <v>5621300</v>
      </c>
      <c r="B344" s="677"/>
      <c r="C344" s="672"/>
      <c r="D344" s="672"/>
      <c r="E344" s="676" t="s">
        <v>1255</v>
      </c>
      <c r="F344" s="680" t="s">
        <v>1256</v>
      </c>
      <c r="G344" s="710">
        <v>562</v>
      </c>
      <c r="H344" s="682">
        <v>1300</v>
      </c>
      <c r="J344" s="668" t="str">
        <f t="shared" si="50"/>
        <v>(2) Paid to Other LEAs (Out-of-State)</v>
      </c>
      <c r="L344" s="668">
        <v>119</v>
      </c>
      <c r="M344" s="669">
        <v>110</v>
      </c>
      <c r="N344" s="668"/>
      <c r="O344" s="668">
        <v>9</v>
      </c>
      <c r="P344" s="668" t="str">
        <f>IFERROR(VLOOKUP(F344, [2]MOE!B:C, 2, FALSE), "No")</f>
        <v>No</v>
      </c>
      <c r="Q344" s="711"/>
      <c r="S344" s="670" t="s">
        <v>1232</v>
      </c>
      <c r="T344" s="668" t="s">
        <v>1257</v>
      </c>
    </row>
    <row r="345" spans="1:20">
      <c r="A345" s="679">
        <v>5631300</v>
      </c>
      <c r="B345" s="677"/>
      <c r="C345" s="672"/>
      <c r="D345" s="672"/>
      <c r="E345" s="676" t="s">
        <v>1036</v>
      </c>
      <c r="F345" s="680" t="s">
        <v>1258</v>
      </c>
      <c r="G345" s="710">
        <v>563</v>
      </c>
      <c r="H345" s="682">
        <v>1300</v>
      </c>
      <c r="J345" s="668" t="str">
        <f t="shared" si="50"/>
        <v>(3) Paid to Private Sources</v>
      </c>
      <c r="L345" s="668">
        <v>119</v>
      </c>
      <c r="M345" s="669">
        <v>110</v>
      </c>
      <c r="N345" s="668"/>
      <c r="O345" s="668">
        <v>9</v>
      </c>
      <c r="P345" s="668" t="str">
        <f>IFERROR(VLOOKUP(F345, [2]MOE!B:C, 2, FALSE), "No")</f>
        <v>No</v>
      </c>
      <c r="Q345" s="711"/>
      <c r="S345" s="670" t="s">
        <v>1232</v>
      </c>
      <c r="T345" s="668" t="s">
        <v>1038</v>
      </c>
    </row>
    <row r="346" spans="1:20">
      <c r="A346" s="679">
        <v>5641300</v>
      </c>
      <c r="B346" s="677"/>
      <c r="C346" s="672"/>
      <c r="D346" s="672"/>
      <c r="E346" s="676" t="s">
        <v>1259</v>
      </c>
      <c r="F346" s="680" t="s">
        <v>1260</v>
      </c>
      <c r="G346" s="710">
        <v>564</v>
      </c>
      <c r="H346" s="682">
        <v>1300</v>
      </c>
      <c r="J346" s="668" t="str">
        <f t="shared" si="50"/>
        <v>(4) Paid to Other Than LEAs (In-State)</v>
      </c>
      <c r="L346" s="668">
        <v>119</v>
      </c>
      <c r="M346" s="669">
        <v>110</v>
      </c>
      <c r="N346" s="668"/>
      <c r="O346" s="668">
        <v>9</v>
      </c>
      <c r="P346" s="668" t="str">
        <f>IFERROR(VLOOKUP(F346, [2]MOE!B:C, 2, FALSE), "No")</f>
        <v>No</v>
      </c>
      <c r="Q346" s="711"/>
      <c r="S346" s="670" t="s">
        <v>1232</v>
      </c>
      <c r="T346" s="668" t="s">
        <v>1261</v>
      </c>
    </row>
    <row r="347" spans="1:20">
      <c r="A347" s="679">
        <v>5821300</v>
      </c>
      <c r="B347" s="677"/>
      <c r="C347" s="672"/>
      <c r="D347" s="672" t="s">
        <v>777</v>
      </c>
      <c r="E347" s="676" t="s">
        <v>1039</v>
      </c>
      <c r="F347" s="680" t="s">
        <v>1262</v>
      </c>
      <c r="G347" s="710">
        <v>582</v>
      </c>
      <c r="H347" s="682">
        <v>1300</v>
      </c>
      <c r="J347" s="668" t="str">
        <f t="shared" si="50"/>
        <v>Travel Expense Reimbursement</v>
      </c>
      <c r="L347" s="668">
        <v>118</v>
      </c>
      <c r="M347" s="669">
        <v>109</v>
      </c>
      <c r="N347" s="668"/>
      <c r="O347" s="668">
        <v>9</v>
      </c>
      <c r="P347" s="668" t="str">
        <f>IFERROR(VLOOKUP(F347, [2]MOE!B:C, 2, FALSE), "No")</f>
        <v>No</v>
      </c>
      <c r="Q347" s="711"/>
      <c r="S347" s="670" t="s">
        <v>1232</v>
      </c>
      <c r="T347" s="668" t="s">
        <v>1039</v>
      </c>
    </row>
    <row r="348" spans="1:20">
      <c r="A348" s="679">
        <v>5001300</v>
      </c>
      <c r="B348" s="677"/>
      <c r="C348" s="672"/>
      <c r="D348" s="672" t="s">
        <v>801</v>
      </c>
      <c r="E348" s="676" t="s">
        <v>252</v>
      </c>
      <c r="F348" s="683" t="s">
        <v>1263</v>
      </c>
      <c r="G348" s="678">
        <v>500</v>
      </c>
      <c r="H348" s="684">
        <v>1300</v>
      </c>
      <c r="J348" s="668" t="str">
        <f t="shared" si="50"/>
        <v>Other Purchased Services</v>
      </c>
      <c r="L348" s="668">
        <v>119</v>
      </c>
      <c r="M348" s="669">
        <v>110</v>
      </c>
      <c r="N348" s="668"/>
      <c r="O348" s="668">
        <v>9</v>
      </c>
      <c r="P348" s="668" t="str">
        <f>IFERROR(VLOOKUP(F348, [2]MOE!B:C, 2, FALSE), "No")</f>
        <v>No</v>
      </c>
      <c r="Q348" s="711"/>
      <c r="S348" s="670" t="s">
        <v>1232</v>
      </c>
      <c r="T348" s="668" t="s">
        <v>252</v>
      </c>
    </row>
    <row r="349" spans="1:20">
      <c r="A349" s="671"/>
      <c r="B349" s="677"/>
      <c r="C349" s="678">
        <v>15</v>
      </c>
      <c r="D349" s="927" t="s">
        <v>1042</v>
      </c>
      <c r="E349" s="926"/>
      <c r="F349" s="675"/>
      <c r="G349" s="672"/>
      <c r="H349" s="676"/>
      <c r="Q349" s="711"/>
      <c r="S349" s="670"/>
    </row>
    <row r="350" spans="1:20">
      <c r="A350" s="679">
        <v>6151300</v>
      </c>
      <c r="B350" s="677"/>
      <c r="C350" s="672"/>
      <c r="D350" s="672" t="s">
        <v>759</v>
      </c>
      <c r="E350" s="676" t="s">
        <v>1043</v>
      </c>
      <c r="F350" s="680" t="s">
        <v>1264</v>
      </c>
      <c r="G350" s="710">
        <v>615</v>
      </c>
      <c r="H350" s="682">
        <v>1300</v>
      </c>
      <c r="J350" s="668" t="str">
        <f t="shared" ref="J350:J353" si="51">E350</f>
        <v>Technology-Related Supplies</v>
      </c>
      <c r="L350" s="668">
        <v>126</v>
      </c>
      <c r="M350" s="669">
        <v>117</v>
      </c>
      <c r="N350" s="668"/>
      <c r="O350" s="668">
        <v>9</v>
      </c>
      <c r="P350" s="668" t="str">
        <f>IFERROR(VLOOKUP(F350, [2]MOE!B:C, 2, FALSE), "No")</f>
        <v>No</v>
      </c>
      <c r="Q350" s="711" t="s">
        <v>1045</v>
      </c>
      <c r="S350" s="670" t="s">
        <v>1232</v>
      </c>
      <c r="T350" s="668" t="s">
        <v>1043</v>
      </c>
    </row>
    <row r="351" spans="1:20">
      <c r="A351" s="679">
        <v>6101300</v>
      </c>
      <c r="B351" s="677"/>
      <c r="C351" s="672"/>
      <c r="D351" s="672" t="s">
        <v>777</v>
      </c>
      <c r="E351" s="676" t="s">
        <v>1265</v>
      </c>
      <c r="F351" s="680" t="s">
        <v>1266</v>
      </c>
      <c r="G351" s="710">
        <v>610</v>
      </c>
      <c r="H351" s="682">
        <v>1300</v>
      </c>
      <c r="J351" s="668" t="str">
        <f t="shared" si="51"/>
        <v>Materials and Supplies (e.g., rpt cards)</v>
      </c>
      <c r="L351" s="668">
        <v>122</v>
      </c>
      <c r="M351" s="669">
        <v>113</v>
      </c>
      <c r="N351" s="668"/>
      <c r="O351" s="668">
        <v>9</v>
      </c>
      <c r="P351" s="668" t="str">
        <f>IFERROR(VLOOKUP(F351, [2]MOE!B:C, 2, FALSE), "No")</f>
        <v>No</v>
      </c>
      <c r="Q351" s="711" t="s">
        <v>1045</v>
      </c>
      <c r="S351" s="670" t="s">
        <v>1232</v>
      </c>
      <c r="T351" s="668" t="s">
        <v>39</v>
      </c>
    </row>
    <row r="352" spans="1:20">
      <c r="A352" s="679">
        <v>6421300</v>
      </c>
      <c r="B352" s="677"/>
      <c r="C352" s="672"/>
      <c r="D352" s="672" t="s">
        <v>801</v>
      </c>
      <c r="E352" s="676" t="s">
        <v>1048</v>
      </c>
      <c r="F352" s="680" t="s">
        <v>1267</v>
      </c>
      <c r="G352" s="710">
        <v>642</v>
      </c>
      <c r="H352" s="682">
        <v>1300</v>
      </c>
      <c r="J352" s="668" t="str">
        <f t="shared" si="51"/>
        <v>Textbooks/Workbooks</v>
      </c>
      <c r="L352" s="668">
        <v>125</v>
      </c>
      <c r="M352" s="669">
        <v>116</v>
      </c>
      <c r="N352" s="668"/>
      <c r="O352" s="668">
        <v>9</v>
      </c>
      <c r="P352" s="668" t="str">
        <f>IFERROR(VLOOKUP(F352, [2]MOE!B:C, 2, FALSE), "No")</f>
        <v>No</v>
      </c>
      <c r="Q352" s="711" t="s">
        <v>1045</v>
      </c>
      <c r="S352" s="670" t="s">
        <v>1232</v>
      </c>
      <c r="T352" s="668" t="s">
        <v>1048</v>
      </c>
    </row>
    <row r="353" spans="1:20">
      <c r="A353" s="679">
        <v>6001300</v>
      </c>
      <c r="B353" s="677"/>
      <c r="C353" s="672"/>
      <c r="D353" s="672" t="s">
        <v>805</v>
      </c>
      <c r="E353" s="676" t="s">
        <v>1050</v>
      </c>
      <c r="F353" s="680" t="s">
        <v>1268</v>
      </c>
      <c r="G353" s="710">
        <v>600</v>
      </c>
      <c r="H353" s="682">
        <v>1300</v>
      </c>
      <c r="J353" s="668" t="str">
        <f t="shared" si="51"/>
        <v>Other Supplies</v>
      </c>
      <c r="L353" s="668">
        <v>126</v>
      </c>
      <c r="M353" s="669">
        <v>117</v>
      </c>
      <c r="N353" s="668"/>
      <c r="O353" s="668">
        <v>9</v>
      </c>
      <c r="P353" s="668" t="str">
        <f>IFERROR(VLOOKUP(F353, [2]MOE!B:C, 2, FALSE), "No")</f>
        <v>No</v>
      </c>
      <c r="Q353" s="711"/>
      <c r="S353" s="670" t="s">
        <v>1232</v>
      </c>
      <c r="T353" s="668" t="s">
        <v>1050</v>
      </c>
    </row>
    <row r="354" spans="1:20">
      <c r="A354" s="671"/>
      <c r="B354" s="677"/>
      <c r="C354" s="678">
        <v>16</v>
      </c>
      <c r="D354" s="927" t="s">
        <v>1052</v>
      </c>
      <c r="E354" s="926"/>
      <c r="F354" s="675"/>
      <c r="G354" s="672"/>
      <c r="H354" s="676"/>
      <c r="Q354" s="711"/>
      <c r="S354" s="670"/>
    </row>
    <row r="355" spans="1:20">
      <c r="A355" s="679">
        <v>7341300</v>
      </c>
      <c r="B355" s="677"/>
      <c r="C355" s="672"/>
      <c r="D355" s="672" t="s">
        <v>759</v>
      </c>
      <c r="E355" s="676" t="s">
        <v>1053</v>
      </c>
      <c r="F355" s="680" t="s">
        <v>1269</v>
      </c>
      <c r="G355" s="710">
        <v>734</v>
      </c>
      <c r="H355" s="682">
        <v>1300</v>
      </c>
      <c r="J355" s="668" t="str">
        <f t="shared" ref="J355:J358" si="52">E355</f>
        <v>Technology-Related Hardware</v>
      </c>
      <c r="L355" s="668">
        <v>131</v>
      </c>
      <c r="M355" s="669">
        <v>122</v>
      </c>
      <c r="N355" s="668"/>
      <c r="O355" s="668">
        <v>9</v>
      </c>
      <c r="P355" s="668" t="str">
        <f>IFERROR(VLOOKUP(F355, [2]MOE!B:C, 2, FALSE), "No")</f>
        <v>No</v>
      </c>
      <c r="Q355" s="711"/>
      <c r="S355" s="670" t="s">
        <v>1232</v>
      </c>
      <c r="T355" s="668" t="s">
        <v>1053</v>
      </c>
    </row>
    <row r="356" spans="1:20">
      <c r="A356" s="679">
        <v>7351300</v>
      </c>
      <c r="B356" s="677"/>
      <c r="C356" s="672"/>
      <c r="D356" s="672" t="s">
        <v>777</v>
      </c>
      <c r="E356" s="676" t="s">
        <v>1055</v>
      </c>
      <c r="F356" s="680" t="s">
        <v>1270</v>
      </c>
      <c r="G356" s="710">
        <v>735</v>
      </c>
      <c r="H356" s="682">
        <v>1300</v>
      </c>
      <c r="J356" s="668" t="str">
        <f t="shared" si="52"/>
        <v>Technology Software</v>
      </c>
      <c r="L356" s="668">
        <v>131</v>
      </c>
      <c r="M356" s="669">
        <v>122</v>
      </c>
      <c r="N356" s="668"/>
      <c r="O356" s="668">
        <v>9</v>
      </c>
      <c r="P356" s="668" t="str">
        <f>IFERROR(VLOOKUP(F356, [2]MOE!B:C, 2, FALSE), "No")</f>
        <v>No</v>
      </c>
      <c r="Q356" s="711"/>
      <c r="S356" s="670" t="s">
        <v>1232</v>
      </c>
      <c r="T356" s="668" t="s">
        <v>1055</v>
      </c>
    </row>
    <row r="357" spans="1:20">
      <c r="A357" s="679">
        <v>7301300</v>
      </c>
      <c r="B357" s="677"/>
      <c r="C357" s="672"/>
      <c r="D357" s="672" t="s">
        <v>801</v>
      </c>
      <c r="E357" s="676" t="s">
        <v>1057</v>
      </c>
      <c r="F357" s="680" t="s">
        <v>1271</v>
      </c>
      <c r="G357" s="710">
        <v>730</v>
      </c>
      <c r="H357" s="682">
        <v>1300</v>
      </c>
      <c r="J357" s="668" t="str">
        <f t="shared" si="52"/>
        <v>All Other Equipment</v>
      </c>
      <c r="L357" s="668">
        <v>131</v>
      </c>
      <c r="M357" s="669">
        <v>122</v>
      </c>
      <c r="N357" s="668"/>
      <c r="O357" s="668">
        <v>9</v>
      </c>
      <c r="P357" s="668" t="str">
        <f>IFERROR(VLOOKUP(F357, [2]MOE!B:C, 2, FALSE), "No")</f>
        <v>No</v>
      </c>
      <c r="Q357" s="711"/>
      <c r="S357" s="670" t="s">
        <v>1232</v>
      </c>
      <c r="T357" s="668" t="s">
        <v>1057</v>
      </c>
    </row>
    <row r="358" spans="1:20">
      <c r="A358" s="679">
        <v>7001300</v>
      </c>
      <c r="B358" s="677"/>
      <c r="C358" s="672"/>
      <c r="D358" s="672" t="s">
        <v>805</v>
      </c>
      <c r="E358" s="676" t="s">
        <v>1059</v>
      </c>
      <c r="F358" s="680" t="s">
        <v>1272</v>
      </c>
      <c r="G358" s="710">
        <v>700</v>
      </c>
      <c r="H358" s="682">
        <v>1300</v>
      </c>
      <c r="J358" s="668" t="str">
        <f t="shared" si="52"/>
        <v>Other Property</v>
      </c>
      <c r="L358" s="668">
        <v>132</v>
      </c>
      <c r="M358" s="669">
        <v>123</v>
      </c>
      <c r="N358" s="668"/>
      <c r="O358" s="668">
        <v>9</v>
      </c>
      <c r="P358" s="668" t="str">
        <f>IFERROR(VLOOKUP(F358, [2]MOE!B:C, 2, FALSE), "No")</f>
        <v>No</v>
      </c>
      <c r="Q358" s="711"/>
      <c r="S358" s="670" t="s">
        <v>1232</v>
      </c>
      <c r="T358" s="668" t="s">
        <v>1059</v>
      </c>
    </row>
    <row r="359" spans="1:20">
      <c r="A359" s="671"/>
      <c r="B359" s="677"/>
      <c r="C359" s="678">
        <v>17</v>
      </c>
      <c r="D359" s="927" t="s">
        <v>256</v>
      </c>
      <c r="E359" s="926"/>
      <c r="F359" s="675"/>
      <c r="G359" s="672"/>
      <c r="H359" s="676"/>
      <c r="Q359" s="711"/>
      <c r="S359" s="670"/>
    </row>
    <row r="360" spans="1:20">
      <c r="A360" s="679">
        <v>8951300</v>
      </c>
      <c r="B360" s="677"/>
      <c r="C360" s="672"/>
      <c r="D360" s="672" t="s">
        <v>759</v>
      </c>
      <c r="E360" s="676" t="s">
        <v>1061</v>
      </c>
      <c r="F360" s="683" t="s">
        <v>1273</v>
      </c>
      <c r="G360" s="678">
        <v>895</v>
      </c>
      <c r="H360" s="684">
        <v>1300</v>
      </c>
      <c r="J360" s="668" t="str">
        <f t="shared" ref="J360:J361" si="53">E360</f>
        <v>Miscellaneous Non-Public Expenditures</v>
      </c>
      <c r="L360" s="668">
        <v>139</v>
      </c>
      <c r="M360" s="669">
        <v>129</v>
      </c>
      <c r="N360" s="668"/>
      <c r="O360" s="668">
        <v>9</v>
      </c>
      <c r="P360" s="668" t="str">
        <f>IFERROR(VLOOKUP(F360, [2]MOE!B:C, 2, FALSE), "No")</f>
        <v>No</v>
      </c>
      <c r="Q360" s="711"/>
      <c r="S360" s="670" t="s">
        <v>1232</v>
      </c>
      <c r="T360" s="668" t="s">
        <v>1061</v>
      </c>
    </row>
    <row r="361" spans="1:20">
      <c r="A361" s="679">
        <v>8001300</v>
      </c>
      <c r="B361" s="677"/>
      <c r="C361" s="672"/>
      <c r="D361" s="672" t="s">
        <v>777</v>
      </c>
      <c r="E361" s="676" t="s">
        <v>1063</v>
      </c>
      <c r="F361" s="683" t="s">
        <v>1274</v>
      </c>
      <c r="G361" s="678">
        <v>800</v>
      </c>
      <c r="H361" s="684">
        <v>1300</v>
      </c>
      <c r="J361" s="668" t="str">
        <f t="shared" si="53"/>
        <v>Other Miscellaneous Expenditures</v>
      </c>
      <c r="L361" s="668">
        <v>139</v>
      </c>
      <c r="M361" s="669">
        <v>129</v>
      </c>
      <c r="N361" s="668"/>
      <c r="O361" s="668">
        <v>9</v>
      </c>
      <c r="P361" s="668" t="str">
        <f>IFERROR(VLOOKUP(F361, [2]MOE!B:C, 2, FALSE), "No")</f>
        <v>No</v>
      </c>
      <c r="Q361" s="711"/>
      <c r="S361" s="670" t="s">
        <v>1232</v>
      </c>
      <c r="T361" s="668" t="s">
        <v>1063</v>
      </c>
    </row>
    <row r="362" spans="1:20">
      <c r="A362" s="671"/>
      <c r="B362" s="677"/>
      <c r="C362" s="678">
        <v>18</v>
      </c>
      <c r="D362" s="927" t="s">
        <v>1065</v>
      </c>
      <c r="E362" s="926"/>
      <c r="F362" s="675"/>
      <c r="G362" s="672"/>
      <c r="H362" s="676"/>
      <c r="Q362" s="711"/>
      <c r="S362" s="670"/>
    </row>
    <row r="363" spans="1:20">
      <c r="A363" s="679">
        <v>2101300</v>
      </c>
      <c r="B363" s="677"/>
      <c r="C363" s="672"/>
      <c r="D363" s="672" t="s">
        <v>759</v>
      </c>
      <c r="E363" s="676" t="s">
        <v>1066</v>
      </c>
      <c r="F363" s="680" t="s">
        <v>1275</v>
      </c>
      <c r="G363" s="710">
        <v>210</v>
      </c>
      <c r="H363" s="682">
        <v>1300</v>
      </c>
      <c r="J363" s="668" t="str">
        <f t="shared" ref="J363:J365" si="54">E363</f>
        <v>Group Insurance</v>
      </c>
      <c r="L363" s="668">
        <v>89</v>
      </c>
      <c r="M363" s="669">
        <v>84</v>
      </c>
      <c r="N363" s="668"/>
      <c r="O363" s="668">
        <v>9</v>
      </c>
      <c r="P363" s="668" t="str">
        <f>IFERROR(VLOOKUP(F363, [2]MOE!B:C, 2, FALSE), "No")</f>
        <v>No</v>
      </c>
      <c r="Q363" s="711" t="s">
        <v>1004</v>
      </c>
      <c r="S363" s="670" t="s">
        <v>1232</v>
      </c>
      <c r="T363" s="668" t="s">
        <v>1066</v>
      </c>
    </row>
    <row r="364" spans="1:20">
      <c r="A364" s="679">
        <v>2201300</v>
      </c>
      <c r="B364" s="677"/>
      <c r="C364" s="672"/>
      <c r="D364" s="672" t="s">
        <v>777</v>
      </c>
      <c r="E364" s="676" t="s">
        <v>7</v>
      </c>
      <c r="F364" s="680" t="s">
        <v>1276</v>
      </c>
      <c r="G364" s="710">
        <v>220</v>
      </c>
      <c r="H364" s="682">
        <v>1300</v>
      </c>
      <c r="J364" s="668" t="str">
        <f t="shared" si="54"/>
        <v>Social Security</v>
      </c>
      <c r="L364" s="668">
        <v>90</v>
      </c>
      <c r="M364" s="669">
        <v>85</v>
      </c>
      <c r="N364" s="668"/>
      <c r="O364" s="668">
        <v>9</v>
      </c>
      <c r="P364" s="668" t="str">
        <f>IFERROR(VLOOKUP(F364, [2]MOE!B:C, 2, FALSE), "No")</f>
        <v>No</v>
      </c>
      <c r="Q364" s="711" t="s">
        <v>1004</v>
      </c>
      <c r="S364" s="670" t="s">
        <v>1232</v>
      </c>
      <c r="T364" s="668" t="s">
        <v>7</v>
      </c>
    </row>
    <row r="365" spans="1:20">
      <c r="A365" s="679">
        <v>2251300</v>
      </c>
      <c r="B365" s="677"/>
      <c r="C365" s="672"/>
      <c r="D365" s="672" t="s">
        <v>801</v>
      </c>
      <c r="E365" s="676" t="s">
        <v>23</v>
      </c>
      <c r="F365" s="680" t="s">
        <v>1277</v>
      </c>
      <c r="G365" s="710">
        <v>225</v>
      </c>
      <c r="H365" s="682">
        <v>1300</v>
      </c>
      <c r="J365" s="668" t="str">
        <f t="shared" si="54"/>
        <v>Medicare</v>
      </c>
      <c r="L365" s="668">
        <v>91</v>
      </c>
      <c r="M365" s="669">
        <v>86</v>
      </c>
      <c r="N365" s="668"/>
      <c r="O365" s="668">
        <v>9</v>
      </c>
      <c r="P365" s="668" t="str">
        <f>IFERROR(VLOOKUP(F365, [2]MOE!B:C, 2, FALSE), "No")</f>
        <v>No</v>
      </c>
      <c r="Q365" s="711" t="s">
        <v>1004</v>
      </c>
      <c r="S365" s="670" t="s">
        <v>1232</v>
      </c>
      <c r="T365" s="668" t="s">
        <v>23</v>
      </c>
    </row>
    <row r="366" spans="1:20">
      <c r="A366" s="671"/>
      <c r="B366" s="677"/>
      <c r="C366" s="672"/>
      <c r="D366" s="672" t="s">
        <v>805</v>
      </c>
      <c r="E366" s="676" t="s">
        <v>1071</v>
      </c>
      <c r="F366" s="675"/>
      <c r="G366" s="672"/>
      <c r="H366" s="676"/>
      <c r="Q366" s="711"/>
      <c r="S366" s="670"/>
    </row>
    <row r="367" spans="1:20">
      <c r="A367" s="679">
        <v>2311300</v>
      </c>
      <c r="B367" s="677"/>
      <c r="C367" s="672"/>
      <c r="D367" s="672"/>
      <c r="E367" s="676" t="s">
        <v>1072</v>
      </c>
      <c r="F367" s="680" t="s">
        <v>1278</v>
      </c>
      <c r="G367" s="710">
        <v>231</v>
      </c>
      <c r="H367" s="682">
        <v>1300</v>
      </c>
      <c r="J367" s="668" t="str">
        <f t="shared" ref="J367:J375" si="55">E367</f>
        <v>(1) Louisiana Teachers Retirement</v>
      </c>
      <c r="L367" s="668">
        <v>92</v>
      </c>
      <c r="M367" s="669">
        <v>87</v>
      </c>
      <c r="N367" s="668"/>
      <c r="O367" s="668">
        <v>9</v>
      </c>
      <c r="P367" s="668" t="str">
        <f>IFERROR(VLOOKUP(F367, [2]MOE!B:C, 2, FALSE), "No")</f>
        <v>No</v>
      </c>
      <c r="Q367" s="711" t="s">
        <v>1004</v>
      </c>
      <c r="S367" s="670" t="s">
        <v>1232</v>
      </c>
      <c r="T367" s="668" t="s">
        <v>1074</v>
      </c>
    </row>
    <row r="368" spans="1:20">
      <c r="A368" s="679">
        <v>2331300</v>
      </c>
      <c r="B368" s="677"/>
      <c r="C368" s="672"/>
      <c r="D368" s="672"/>
      <c r="E368" s="676" t="s">
        <v>1075</v>
      </c>
      <c r="F368" s="680" t="s">
        <v>1279</v>
      </c>
      <c r="G368" s="710">
        <v>233</v>
      </c>
      <c r="H368" s="682">
        <v>1300</v>
      </c>
      <c r="J368" s="668" t="str">
        <f t="shared" si="55"/>
        <v>(2) Louisiana School Employees Retirement</v>
      </c>
      <c r="L368" s="668">
        <v>92</v>
      </c>
      <c r="M368" s="669">
        <v>87</v>
      </c>
      <c r="N368" s="668"/>
      <c r="O368" s="668">
        <v>9</v>
      </c>
      <c r="P368" s="668" t="str">
        <f>IFERROR(VLOOKUP(F368, [2]MOE!B:C, 2, FALSE), "No")</f>
        <v>No</v>
      </c>
      <c r="Q368" s="711" t="s">
        <v>1004</v>
      </c>
      <c r="S368" s="670" t="s">
        <v>1232</v>
      </c>
      <c r="T368" s="668" t="s">
        <v>1077</v>
      </c>
    </row>
    <row r="369" spans="1:20">
      <c r="A369" s="679">
        <v>2391300</v>
      </c>
      <c r="B369" s="677"/>
      <c r="C369" s="672"/>
      <c r="D369" s="672"/>
      <c r="E369" s="676" t="s">
        <v>1078</v>
      </c>
      <c r="F369" s="680" t="s">
        <v>1280</v>
      </c>
      <c r="G369" s="710">
        <v>239</v>
      </c>
      <c r="H369" s="682">
        <v>1300</v>
      </c>
      <c r="J369" s="668" t="str">
        <f t="shared" si="55"/>
        <v>(3) Other Retirement</v>
      </c>
      <c r="L369" s="668">
        <v>92</v>
      </c>
      <c r="M369" s="669">
        <v>87</v>
      </c>
      <c r="N369" s="668"/>
      <c r="O369" s="668">
        <v>9</v>
      </c>
      <c r="P369" s="668" t="str">
        <f>IFERROR(VLOOKUP(F369, [2]MOE!B:C, 2, FALSE), "No")</f>
        <v>No</v>
      </c>
      <c r="Q369" s="711" t="s">
        <v>1004</v>
      </c>
      <c r="S369" s="670" t="s">
        <v>1232</v>
      </c>
      <c r="T369" s="668" t="s">
        <v>1080</v>
      </c>
    </row>
    <row r="370" spans="1:20">
      <c r="A370" s="679">
        <v>2501300</v>
      </c>
      <c r="B370" s="677"/>
      <c r="C370" s="672"/>
      <c r="D370" s="672" t="s">
        <v>850</v>
      </c>
      <c r="E370" s="676" t="s">
        <v>1081</v>
      </c>
      <c r="F370" s="680" t="s">
        <v>1281</v>
      </c>
      <c r="G370" s="710">
        <v>250</v>
      </c>
      <c r="H370" s="682">
        <v>1300</v>
      </c>
      <c r="J370" s="668" t="str">
        <f t="shared" si="55"/>
        <v>Unemployment Compensation</v>
      </c>
      <c r="L370" s="668">
        <v>93</v>
      </c>
      <c r="M370" s="669">
        <v>88</v>
      </c>
      <c r="N370" s="668"/>
      <c r="O370" s="668">
        <v>9</v>
      </c>
      <c r="P370" s="668" t="str">
        <f>IFERROR(VLOOKUP(F370, [2]MOE!B:C, 2, FALSE), "No")</f>
        <v>No</v>
      </c>
      <c r="Q370" s="711" t="s">
        <v>1004</v>
      </c>
      <c r="S370" s="670" t="s">
        <v>1232</v>
      </c>
      <c r="T370" s="668" t="s">
        <v>1081</v>
      </c>
    </row>
    <row r="371" spans="1:20">
      <c r="A371" s="679">
        <v>2601300</v>
      </c>
      <c r="B371" s="677"/>
      <c r="C371" s="672"/>
      <c r="D371" s="672" t="s">
        <v>853</v>
      </c>
      <c r="E371" s="676" t="s">
        <v>1083</v>
      </c>
      <c r="F371" s="680" t="s">
        <v>1282</v>
      </c>
      <c r="G371" s="710">
        <v>260</v>
      </c>
      <c r="H371" s="682">
        <v>1300</v>
      </c>
      <c r="J371" s="668" t="str">
        <f t="shared" si="55"/>
        <v>Workmen's Compensation</v>
      </c>
      <c r="L371" s="668">
        <v>95</v>
      </c>
      <c r="M371" s="669">
        <v>90</v>
      </c>
      <c r="N371" s="668"/>
      <c r="O371" s="668">
        <v>9</v>
      </c>
      <c r="P371" s="668" t="str">
        <f>IFERROR(VLOOKUP(F371, [2]MOE!B:C, 2, FALSE), "No")</f>
        <v>No</v>
      </c>
      <c r="Q371" s="711" t="s">
        <v>1004</v>
      </c>
      <c r="S371" s="670" t="s">
        <v>1232</v>
      </c>
      <c r="T371" s="668" t="s">
        <v>1083</v>
      </c>
    </row>
    <row r="372" spans="1:20">
      <c r="A372" s="679">
        <v>2701300</v>
      </c>
      <c r="B372" s="677"/>
      <c r="C372" s="672"/>
      <c r="D372" s="672" t="s">
        <v>856</v>
      </c>
      <c r="E372" s="676" t="s">
        <v>1085</v>
      </c>
      <c r="F372" s="680" t="s">
        <v>1283</v>
      </c>
      <c r="G372" s="710">
        <v>270</v>
      </c>
      <c r="H372" s="682">
        <v>1300</v>
      </c>
      <c r="J372" s="668" t="str">
        <f t="shared" si="55"/>
        <v>Health Benefits (retirees)</v>
      </c>
      <c r="L372" s="668">
        <v>94</v>
      </c>
      <c r="M372" s="669">
        <v>89</v>
      </c>
      <c r="N372" s="668"/>
      <c r="O372" s="668">
        <v>9</v>
      </c>
      <c r="P372" s="668" t="str">
        <f>IFERROR(VLOOKUP(F372, [2]MOE!B:C, 2, FALSE), "No")</f>
        <v>No</v>
      </c>
      <c r="Q372" s="711" t="s">
        <v>1004</v>
      </c>
      <c r="S372" s="670" t="s">
        <v>1232</v>
      </c>
      <c r="T372" s="668" t="s">
        <v>1085</v>
      </c>
    </row>
    <row r="373" spans="1:20">
      <c r="A373" s="679">
        <v>2811300</v>
      </c>
      <c r="B373" s="677"/>
      <c r="C373" s="672"/>
      <c r="D373" s="672" t="s">
        <v>859</v>
      </c>
      <c r="E373" s="676" t="s">
        <v>1087</v>
      </c>
      <c r="F373" s="680" t="s">
        <v>1284</v>
      </c>
      <c r="G373" s="710">
        <v>281</v>
      </c>
      <c r="H373" s="682">
        <v>1300</v>
      </c>
      <c r="J373" s="668" t="str">
        <f t="shared" si="55"/>
        <v>Sick Leave Severance Pay</v>
      </c>
      <c r="L373" s="668">
        <v>95</v>
      </c>
      <c r="M373" s="669">
        <v>90</v>
      </c>
      <c r="N373" s="668"/>
      <c r="O373" s="668">
        <v>9</v>
      </c>
      <c r="P373" s="668" t="str">
        <f>IFERROR(VLOOKUP(F373, [2]MOE!B:C, 2, FALSE), "No")</f>
        <v>No</v>
      </c>
      <c r="Q373" s="711" t="s">
        <v>1004</v>
      </c>
      <c r="S373" s="670" t="s">
        <v>1232</v>
      </c>
      <c r="T373" s="668" t="s">
        <v>1087</v>
      </c>
    </row>
    <row r="374" spans="1:20">
      <c r="A374" s="679">
        <v>2821300</v>
      </c>
      <c r="B374" s="677"/>
      <c r="C374" s="672"/>
      <c r="D374" s="672" t="s">
        <v>862</v>
      </c>
      <c r="E374" s="676" t="s">
        <v>1089</v>
      </c>
      <c r="F374" s="680" t="s">
        <v>1285</v>
      </c>
      <c r="G374" s="710">
        <v>282</v>
      </c>
      <c r="H374" s="682">
        <v>1300</v>
      </c>
      <c r="J374" s="668" t="str">
        <f t="shared" si="55"/>
        <v>Annual Leave Severance Pay</v>
      </c>
      <c r="L374" s="668">
        <v>95</v>
      </c>
      <c r="M374" s="669">
        <v>90</v>
      </c>
      <c r="N374" s="668"/>
      <c r="O374" s="668">
        <v>9</v>
      </c>
      <c r="P374" s="668" t="str">
        <f>IFERROR(VLOOKUP(F374, [2]MOE!B:C, 2, FALSE), "No")</f>
        <v>No</v>
      </c>
      <c r="Q374" s="711" t="s">
        <v>1004</v>
      </c>
      <c r="S374" s="670" t="s">
        <v>1232</v>
      </c>
      <c r="T374" s="668" t="s">
        <v>1089</v>
      </c>
    </row>
    <row r="375" spans="1:20" ht="16" thickBot="1">
      <c r="A375" s="679">
        <v>2901300</v>
      </c>
      <c r="B375" s="716"/>
      <c r="C375" s="672"/>
      <c r="D375" s="672" t="s">
        <v>1091</v>
      </c>
      <c r="E375" s="676" t="s">
        <v>1092</v>
      </c>
      <c r="F375" s="680" t="s">
        <v>1286</v>
      </c>
      <c r="G375" s="710">
        <v>290</v>
      </c>
      <c r="H375" s="682">
        <v>1300</v>
      </c>
      <c r="J375" s="668" t="str">
        <f t="shared" si="55"/>
        <v>Other Employee Benefits</v>
      </c>
      <c r="L375" s="668">
        <v>95</v>
      </c>
      <c r="M375" s="669">
        <v>90</v>
      </c>
      <c r="N375" s="668"/>
      <c r="O375" s="668">
        <v>9</v>
      </c>
      <c r="P375" s="668" t="str">
        <f>IFERROR(VLOOKUP(F375, [2]MOE!B:C, 2, FALSE), "No")</f>
        <v>No</v>
      </c>
      <c r="Q375" s="711" t="s">
        <v>1004</v>
      </c>
      <c r="S375" s="670" t="s">
        <v>1232</v>
      </c>
      <c r="T375" s="668" t="s">
        <v>1092</v>
      </c>
    </row>
    <row r="376" spans="1:20" ht="16.5" thickTop="1" thickBot="1">
      <c r="A376" s="671"/>
      <c r="B376" s="663"/>
      <c r="C376" s="929" t="s">
        <v>1287</v>
      </c>
      <c r="D376" s="930"/>
      <c r="E376" s="932"/>
      <c r="F376" s="705" t="s">
        <v>623</v>
      </c>
      <c r="G376" s="706"/>
      <c r="H376" s="707"/>
      <c r="Q376" s="711"/>
      <c r="S376" s="670"/>
    </row>
    <row r="377" spans="1:20" ht="16" thickTop="1">
      <c r="A377" s="671"/>
      <c r="B377" s="672"/>
      <c r="C377" s="677"/>
      <c r="D377" s="672"/>
      <c r="E377" s="676"/>
      <c r="F377" s="675"/>
      <c r="G377" s="672"/>
      <c r="H377" s="676"/>
      <c r="Q377" s="711"/>
      <c r="S377" s="670"/>
    </row>
    <row r="378" spans="1:20">
      <c r="A378" s="671"/>
      <c r="B378" s="677" t="s">
        <v>1288</v>
      </c>
      <c r="C378" s="921" t="s">
        <v>685</v>
      </c>
      <c r="D378" s="795"/>
      <c r="E378" s="926"/>
      <c r="F378" s="675"/>
      <c r="G378" s="672"/>
      <c r="H378" s="676"/>
      <c r="Q378" s="711"/>
      <c r="S378" s="670"/>
    </row>
    <row r="379" spans="1:20">
      <c r="A379" s="671"/>
      <c r="B379" s="677"/>
      <c r="C379" s="678">
        <v>19</v>
      </c>
      <c r="D379" s="925" t="s">
        <v>1289</v>
      </c>
      <c r="E379" s="926"/>
      <c r="F379" s="675"/>
      <c r="G379" s="672"/>
      <c r="H379" s="676"/>
      <c r="Q379" s="711"/>
      <c r="S379" s="670"/>
    </row>
    <row r="380" spans="1:20">
      <c r="A380" s="671"/>
      <c r="B380" s="677"/>
      <c r="C380" s="672"/>
      <c r="D380" s="672" t="s">
        <v>759</v>
      </c>
      <c r="E380" s="676" t="s">
        <v>244</v>
      </c>
      <c r="F380" s="675"/>
      <c r="G380" s="672"/>
      <c r="H380" s="676"/>
      <c r="Q380" s="711"/>
      <c r="S380" s="670"/>
    </row>
    <row r="381" spans="1:20">
      <c r="A381" s="679">
        <v>1121410</v>
      </c>
      <c r="B381" s="677"/>
      <c r="C381" s="672"/>
      <c r="D381" s="672"/>
      <c r="E381" s="676" t="s">
        <v>1290</v>
      </c>
      <c r="F381" s="680" t="s">
        <v>1291</v>
      </c>
      <c r="G381" s="710">
        <v>112</v>
      </c>
      <c r="H381" s="682">
        <v>1410</v>
      </c>
      <c r="J381" s="668" t="str">
        <f t="shared" ref="J381:J387" si="56">E381</f>
        <v>(1) Teacher (e.g. Band Dir, Debate Coach)</v>
      </c>
      <c r="L381" s="668">
        <v>82</v>
      </c>
      <c r="M381" s="669">
        <v>77</v>
      </c>
      <c r="N381" s="668"/>
      <c r="O381" s="668">
        <v>10</v>
      </c>
      <c r="P381" s="668" t="str">
        <f>IFERROR(VLOOKUP(F381, [2]MOE!B:C, 2, FALSE), "No")</f>
        <v>No</v>
      </c>
      <c r="Q381" s="711" t="s">
        <v>1004</v>
      </c>
      <c r="S381" s="670" t="s">
        <v>1292</v>
      </c>
      <c r="T381" s="668" t="s">
        <v>1293</v>
      </c>
    </row>
    <row r="382" spans="1:20">
      <c r="A382" s="679">
        <v>1151410</v>
      </c>
      <c r="B382" s="677"/>
      <c r="C382" s="672"/>
      <c r="D382" s="672"/>
      <c r="E382" s="676" t="s">
        <v>1100</v>
      </c>
      <c r="F382" s="680" t="s">
        <v>1294</v>
      </c>
      <c r="G382" s="710">
        <v>115</v>
      </c>
      <c r="H382" s="682">
        <v>1410</v>
      </c>
      <c r="J382" s="668" t="str">
        <f t="shared" si="56"/>
        <v>(2) Para-professionals (Aides)</v>
      </c>
      <c r="L382" s="668">
        <v>86</v>
      </c>
      <c r="M382" s="669">
        <v>81</v>
      </c>
      <c r="N382" s="668"/>
      <c r="O382" s="668">
        <v>10</v>
      </c>
      <c r="P382" s="668" t="str">
        <f>IFERROR(VLOOKUP(F382, [2]MOE!B:C, 2, FALSE), "No")</f>
        <v>No</v>
      </c>
      <c r="Q382" s="711" t="s">
        <v>1004</v>
      </c>
      <c r="S382" s="670" t="s">
        <v>1292</v>
      </c>
      <c r="T382" s="668" t="s">
        <v>1102</v>
      </c>
    </row>
    <row r="383" spans="1:20">
      <c r="A383" s="679">
        <v>1231410</v>
      </c>
      <c r="B383" s="677"/>
      <c r="C383" s="672"/>
      <c r="D383" s="672"/>
      <c r="E383" s="676" t="s">
        <v>1103</v>
      </c>
      <c r="F383" s="680" t="s">
        <v>1295</v>
      </c>
      <c r="G383" s="710">
        <v>123</v>
      </c>
      <c r="H383" s="682">
        <v>1410</v>
      </c>
      <c r="J383" s="668" t="str">
        <f t="shared" si="56"/>
        <v>(3) Substitute Teachers</v>
      </c>
      <c r="L383" s="668">
        <v>86</v>
      </c>
      <c r="M383" s="669">
        <v>81</v>
      </c>
      <c r="N383" s="668"/>
      <c r="O383" s="668">
        <v>10</v>
      </c>
      <c r="P383" s="668" t="str">
        <f>IFERROR(VLOOKUP(F383, [2]MOE!B:C, 2, FALSE), "No")</f>
        <v>No</v>
      </c>
      <c r="Q383" s="711" t="s">
        <v>1004</v>
      </c>
      <c r="S383" s="670" t="s">
        <v>1292</v>
      </c>
      <c r="T383" s="668" t="s">
        <v>1105</v>
      </c>
    </row>
    <row r="384" spans="1:20">
      <c r="A384" s="679">
        <v>1201410</v>
      </c>
      <c r="B384" s="677"/>
      <c r="C384" s="672"/>
      <c r="D384" s="672"/>
      <c r="E384" s="676" t="s">
        <v>1106</v>
      </c>
      <c r="F384" s="680" t="s">
        <v>1296</v>
      </c>
      <c r="G384" s="710">
        <v>120</v>
      </c>
      <c r="H384" s="682">
        <v>1410</v>
      </c>
      <c r="J384" s="668" t="str">
        <f t="shared" si="56"/>
        <v>(4) Other Substitute/Temp. Employees</v>
      </c>
      <c r="L384" s="668">
        <v>86</v>
      </c>
      <c r="M384" s="669">
        <v>81</v>
      </c>
      <c r="N384" s="668"/>
      <c r="O384" s="668">
        <v>10</v>
      </c>
      <c r="P384" s="668" t="str">
        <f>IFERROR(VLOOKUP(F384, [2]MOE!B:C, 2, FALSE), "No")</f>
        <v>No</v>
      </c>
      <c r="Q384" s="711" t="s">
        <v>1004</v>
      </c>
      <c r="S384" s="670" t="s">
        <v>1292</v>
      </c>
      <c r="T384" s="668" t="s">
        <v>1108</v>
      </c>
    </row>
    <row r="385" spans="1:20">
      <c r="A385" s="679">
        <v>1001410</v>
      </c>
      <c r="B385" s="677"/>
      <c r="C385" s="672"/>
      <c r="D385" s="672"/>
      <c r="E385" s="676" t="s">
        <v>1109</v>
      </c>
      <c r="F385" s="680" t="s">
        <v>1297</v>
      </c>
      <c r="G385" s="710">
        <v>100</v>
      </c>
      <c r="H385" s="682">
        <v>1410</v>
      </c>
      <c r="J385" s="668" t="str">
        <f t="shared" si="56"/>
        <v>(5) Other Instructional Salaries</v>
      </c>
      <c r="L385" s="668">
        <v>86</v>
      </c>
      <c r="M385" s="669">
        <v>81</v>
      </c>
      <c r="N385" s="668"/>
      <c r="O385" s="668">
        <v>10</v>
      </c>
      <c r="P385" s="668" t="str">
        <f>IFERROR(VLOOKUP(F385, [2]MOE!B:C, 2, FALSE), "No")</f>
        <v>No</v>
      </c>
      <c r="Q385" s="711" t="s">
        <v>1004</v>
      </c>
      <c r="S385" s="670" t="s">
        <v>1292</v>
      </c>
      <c r="T385" s="668" t="s">
        <v>1017</v>
      </c>
    </row>
    <row r="386" spans="1:20">
      <c r="A386" s="679">
        <v>1401410</v>
      </c>
      <c r="B386" s="677"/>
      <c r="C386" s="672"/>
      <c r="D386" s="672"/>
      <c r="E386" s="676" t="s">
        <v>1111</v>
      </c>
      <c r="F386" s="680" t="s">
        <v>1298</v>
      </c>
      <c r="G386" s="710">
        <v>140</v>
      </c>
      <c r="H386" s="682">
        <v>1410</v>
      </c>
      <c r="J386" s="668" t="str">
        <f t="shared" si="56"/>
        <v>(6) Sabbatical Leave</v>
      </c>
      <c r="L386" s="668">
        <v>86</v>
      </c>
      <c r="M386" s="669">
        <v>81</v>
      </c>
      <c r="N386" s="668"/>
      <c r="O386" s="668">
        <v>10</v>
      </c>
      <c r="P386" s="668" t="str">
        <f>IFERROR(VLOOKUP(F386, [2]MOE!B:C, 2, FALSE), "No")</f>
        <v>No</v>
      </c>
      <c r="Q386" s="711" t="s">
        <v>1004</v>
      </c>
      <c r="S386" s="670" t="s">
        <v>1292</v>
      </c>
      <c r="T386" s="668" t="s">
        <v>1019</v>
      </c>
    </row>
    <row r="387" spans="1:20">
      <c r="A387" s="679">
        <v>3001410</v>
      </c>
      <c r="B387" s="677"/>
      <c r="C387" s="672"/>
      <c r="D387" s="672" t="s">
        <v>777</v>
      </c>
      <c r="E387" s="676" t="s">
        <v>1113</v>
      </c>
      <c r="F387" s="680" t="s">
        <v>1299</v>
      </c>
      <c r="G387" s="710">
        <v>300</v>
      </c>
      <c r="H387" s="682">
        <v>1410</v>
      </c>
      <c r="J387" s="668" t="str">
        <f t="shared" si="56"/>
        <v>Purchased Professional and Technical Svcs</v>
      </c>
      <c r="L387" s="668">
        <v>101</v>
      </c>
      <c r="M387" s="669">
        <v>96</v>
      </c>
      <c r="N387" s="668"/>
      <c r="O387" s="668">
        <v>10</v>
      </c>
      <c r="P387" s="668" t="str">
        <f>IFERROR(VLOOKUP(F387, [2]MOE!B:C, 2, FALSE), "No")</f>
        <v>No</v>
      </c>
      <c r="Q387" s="711"/>
      <c r="S387" s="670" t="s">
        <v>1292</v>
      </c>
      <c r="T387" s="668" t="s">
        <v>1113</v>
      </c>
    </row>
    <row r="388" spans="1:20">
      <c r="A388" s="671"/>
      <c r="B388" s="677"/>
      <c r="C388" s="672"/>
      <c r="D388" s="672" t="s">
        <v>801</v>
      </c>
      <c r="E388" s="676" t="s">
        <v>250</v>
      </c>
      <c r="F388" s="675"/>
      <c r="G388" s="672"/>
      <c r="H388" s="676"/>
      <c r="Q388" s="711"/>
      <c r="S388" s="670"/>
    </row>
    <row r="389" spans="1:20">
      <c r="A389" s="679">
        <v>4301410</v>
      </c>
      <c r="B389" s="677"/>
      <c r="C389" s="672"/>
      <c r="D389" s="672"/>
      <c r="E389" s="676" t="s">
        <v>1115</v>
      </c>
      <c r="F389" s="680" t="s">
        <v>1300</v>
      </c>
      <c r="G389" s="710">
        <v>430</v>
      </c>
      <c r="H389" s="682">
        <v>1410</v>
      </c>
      <c r="J389" s="668" t="str">
        <f t="shared" ref="J389:J391" si="57">E389</f>
        <v>(1) Repairs and Maintenance Services</v>
      </c>
      <c r="L389" s="668">
        <v>107</v>
      </c>
      <c r="M389" s="669">
        <v>102</v>
      </c>
      <c r="N389" s="668"/>
      <c r="O389" s="668">
        <v>10</v>
      </c>
      <c r="P389" s="668" t="str">
        <f>IFERROR(VLOOKUP(F389, [2]MOE!B:C, 2, FALSE), "No")</f>
        <v>No</v>
      </c>
      <c r="Q389" s="711"/>
      <c r="S389" s="670" t="s">
        <v>1292</v>
      </c>
      <c r="T389" s="668" t="s">
        <v>1023</v>
      </c>
    </row>
    <row r="390" spans="1:20">
      <c r="A390" s="679">
        <v>4421410</v>
      </c>
      <c r="B390" s="677"/>
      <c r="C390" s="672"/>
      <c r="D390" s="672"/>
      <c r="E390" s="676" t="s">
        <v>1117</v>
      </c>
      <c r="F390" s="680" t="s">
        <v>1301</v>
      </c>
      <c r="G390" s="710">
        <v>442</v>
      </c>
      <c r="H390" s="682">
        <v>1410</v>
      </c>
      <c r="J390" s="668" t="str">
        <f t="shared" si="57"/>
        <v>(2) Rental of Equipment</v>
      </c>
      <c r="L390" s="668">
        <v>106</v>
      </c>
      <c r="M390" s="669">
        <v>101</v>
      </c>
      <c r="N390" s="668"/>
      <c r="O390" s="668">
        <v>10</v>
      </c>
      <c r="P390" s="668" t="str">
        <f>IFERROR(VLOOKUP(F390, [2]MOE!B:C, 2, FALSE), "No")</f>
        <v>No</v>
      </c>
      <c r="Q390" s="711"/>
      <c r="S390" s="670" t="s">
        <v>1292</v>
      </c>
      <c r="T390" s="668" t="s">
        <v>1025</v>
      </c>
    </row>
    <row r="391" spans="1:20">
      <c r="A391" s="679">
        <v>4001410</v>
      </c>
      <c r="B391" s="677"/>
      <c r="C391" s="672"/>
      <c r="D391" s="672"/>
      <c r="E391" s="676" t="s">
        <v>1119</v>
      </c>
      <c r="F391" s="680" t="s">
        <v>1302</v>
      </c>
      <c r="G391" s="710">
        <v>400</v>
      </c>
      <c r="H391" s="682">
        <v>1410</v>
      </c>
      <c r="J391" s="668" t="str">
        <f t="shared" si="57"/>
        <v>(3) Other Purchased Property Services</v>
      </c>
      <c r="L391" s="668">
        <v>108</v>
      </c>
      <c r="M391" s="669">
        <v>103</v>
      </c>
      <c r="N391" s="668"/>
      <c r="O391" s="668">
        <v>10</v>
      </c>
      <c r="P391" s="668" t="str">
        <f>IFERROR(VLOOKUP(F391, [2]MOE!B:C, 2, FALSE), "No")</f>
        <v>No</v>
      </c>
      <c r="Q391" s="711"/>
      <c r="S391" s="670" t="s">
        <v>1292</v>
      </c>
      <c r="T391" s="668" t="s">
        <v>1027</v>
      </c>
    </row>
    <row r="392" spans="1:20">
      <c r="A392" s="671"/>
      <c r="B392" s="677"/>
      <c r="C392" s="672"/>
      <c r="D392" s="672" t="s">
        <v>805</v>
      </c>
      <c r="E392" s="676" t="s">
        <v>252</v>
      </c>
      <c r="F392" s="675"/>
      <c r="G392" s="672"/>
      <c r="H392" s="676"/>
      <c r="Q392" s="711"/>
      <c r="S392" s="670"/>
    </row>
    <row r="393" spans="1:20">
      <c r="A393" s="671"/>
      <c r="B393" s="677"/>
      <c r="C393" s="672"/>
      <c r="D393" s="672"/>
      <c r="E393" s="676" t="s">
        <v>1121</v>
      </c>
      <c r="F393" s="675"/>
      <c r="G393" s="672"/>
      <c r="H393" s="676"/>
      <c r="Q393" s="711"/>
      <c r="S393" s="670"/>
    </row>
    <row r="394" spans="1:20">
      <c r="A394" s="679">
        <v>5611410</v>
      </c>
      <c r="B394" s="677"/>
      <c r="C394" s="672"/>
      <c r="D394" s="672"/>
      <c r="E394" s="676" t="s">
        <v>1122</v>
      </c>
      <c r="F394" s="680" t="s">
        <v>1303</v>
      </c>
      <c r="G394" s="710">
        <v>561</v>
      </c>
      <c r="H394" s="682">
        <v>1410</v>
      </c>
      <c r="J394" s="668" t="str">
        <f t="shared" ref="J394:J398" si="58">E394</f>
        <v>(a) Paid to Other LEA (In-State)</v>
      </c>
      <c r="L394" s="668">
        <v>119</v>
      </c>
      <c r="M394" s="669">
        <v>110</v>
      </c>
      <c r="N394" s="668"/>
      <c r="O394" s="668">
        <v>10</v>
      </c>
      <c r="P394" s="668" t="str">
        <f>IFERROR(VLOOKUP(F394, [2]MOE!B:C, 2, FALSE), "No")</f>
        <v>No</v>
      </c>
      <c r="Q394" s="711"/>
      <c r="S394" s="670" t="s">
        <v>1292</v>
      </c>
      <c r="T394" s="668" t="s">
        <v>1032</v>
      </c>
    </row>
    <row r="395" spans="1:20">
      <c r="A395" s="679">
        <v>5621410</v>
      </c>
      <c r="B395" s="677"/>
      <c r="C395" s="672"/>
      <c r="D395" s="672"/>
      <c r="E395" s="676" t="s">
        <v>1124</v>
      </c>
      <c r="F395" s="680" t="s">
        <v>1304</v>
      </c>
      <c r="G395" s="710">
        <v>562</v>
      </c>
      <c r="H395" s="682">
        <v>1410</v>
      </c>
      <c r="J395" s="668" t="str">
        <f t="shared" si="58"/>
        <v>(b) Paid to Other LEA (Out-of-State)</v>
      </c>
      <c r="L395" s="668">
        <v>119</v>
      </c>
      <c r="M395" s="669">
        <v>110</v>
      </c>
      <c r="N395" s="668"/>
      <c r="O395" s="668">
        <v>10</v>
      </c>
      <c r="P395" s="668" t="str">
        <f>IFERROR(VLOOKUP(F395, [2]MOE!B:C, 2, FALSE), "No")</f>
        <v>No</v>
      </c>
      <c r="Q395" s="711"/>
      <c r="S395" s="670" t="s">
        <v>1292</v>
      </c>
      <c r="T395" s="668" t="s">
        <v>1035</v>
      </c>
    </row>
    <row r="396" spans="1:20">
      <c r="A396" s="679">
        <v>5631410</v>
      </c>
      <c r="B396" s="677"/>
      <c r="C396" s="672"/>
      <c r="D396" s="672"/>
      <c r="E396" s="676" t="s">
        <v>1305</v>
      </c>
      <c r="F396" s="680" t="s">
        <v>1306</v>
      </c>
      <c r="G396" s="710">
        <v>563</v>
      </c>
      <c r="H396" s="682">
        <v>1410</v>
      </c>
      <c r="J396" s="668" t="str">
        <f t="shared" si="58"/>
        <v>(c) Paid to Private Sources</v>
      </c>
      <c r="L396" s="668">
        <v>119</v>
      </c>
      <c r="M396" s="669">
        <v>110</v>
      </c>
      <c r="N396" s="668"/>
      <c r="O396" s="668">
        <v>10</v>
      </c>
      <c r="P396" s="668" t="str">
        <f>IFERROR(VLOOKUP(F396, [2]MOE!B:C, 2, FALSE), "No")</f>
        <v>No</v>
      </c>
      <c r="Q396" s="711"/>
      <c r="S396" s="670" t="s">
        <v>1292</v>
      </c>
      <c r="T396" s="668" t="s">
        <v>1038</v>
      </c>
    </row>
    <row r="397" spans="1:20">
      <c r="A397" s="679">
        <v>5821410</v>
      </c>
      <c r="B397" s="677"/>
      <c r="C397" s="672"/>
      <c r="D397" s="672"/>
      <c r="E397" s="676" t="s">
        <v>1135</v>
      </c>
      <c r="F397" s="680" t="s">
        <v>1307</v>
      </c>
      <c r="G397" s="710">
        <v>582</v>
      </c>
      <c r="H397" s="682">
        <v>1410</v>
      </c>
      <c r="J397" s="668" t="str">
        <f t="shared" si="58"/>
        <v>(2) Travel Expense Reimbursement</v>
      </c>
      <c r="L397" s="668">
        <v>118</v>
      </c>
      <c r="M397" s="669">
        <v>109</v>
      </c>
      <c r="N397" s="668"/>
      <c r="O397" s="668">
        <v>10</v>
      </c>
      <c r="P397" s="668" t="str">
        <f>IFERROR(VLOOKUP(F397, [2]MOE!B:C, 2, FALSE), "No")</f>
        <v>No</v>
      </c>
      <c r="Q397" s="711"/>
      <c r="S397" s="670" t="s">
        <v>1292</v>
      </c>
      <c r="T397" s="668" t="s">
        <v>1039</v>
      </c>
    </row>
    <row r="398" spans="1:20">
      <c r="A398" s="679">
        <v>5001410</v>
      </c>
      <c r="B398" s="677"/>
      <c r="C398" s="672"/>
      <c r="D398" s="672"/>
      <c r="E398" s="676" t="s">
        <v>1137</v>
      </c>
      <c r="F398" s="680" t="s">
        <v>1308</v>
      </c>
      <c r="G398" s="710">
        <v>500</v>
      </c>
      <c r="H398" s="682">
        <v>1410</v>
      </c>
      <c r="J398" s="668" t="str">
        <f t="shared" si="58"/>
        <v>(3) Other Purchased Services</v>
      </c>
      <c r="L398" s="668">
        <v>119</v>
      </c>
      <c r="M398" s="669">
        <v>110</v>
      </c>
      <c r="N398" s="668"/>
      <c r="O398" s="668">
        <v>10</v>
      </c>
      <c r="P398" s="668" t="str">
        <f>IFERROR(VLOOKUP(F398, [2]MOE!B:C, 2, FALSE), "No")</f>
        <v>No</v>
      </c>
      <c r="Q398" s="711"/>
      <c r="S398" s="670" t="s">
        <v>1292</v>
      </c>
      <c r="T398" s="668" t="s">
        <v>252</v>
      </c>
    </row>
    <row r="399" spans="1:20">
      <c r="A399" s="671"/>
      <c r="B399" s="677"/>
      <c r="C399" s="672"/>
      <c r="D399" s="672" t="s">
        <v>850</v>
      </c>
      <c r="E399" s="676" t="s">
        <v>1042</v>
      </c>
      <c r="F399" s="675"/>
      <c r="G399" s="672"/>
      <c r="H399" s="676"/>
      <c r="Q399" s="711"/>
      <c r="S399" s="670"/>
    </row>
    <row r="400" spans="1:20">
      <c r="A400" s="679">
        <v>6151410</v>
      </c>
      <c r="B400" s="677"/>
      <c r="C400" s="672"/>
      <c r="D400" s="672"/>
      <c r="E400" s="676" t="s">
        <v>1139</v>
      </c>
      <c r="F400" s="680" t="s">
        <v>1309</v>
      </c>
      <c r="G400" s="710">
        <v>615</v>
      </c>
      <c r="H400" s="682">
        <v>1410</v>
      </c>
      <c r="J400" s="668" t="str">
        <f t="shared" ref="J400:J403" si="59">E400</f>
        <v>(1) Technology-Related Supplies</v>
      </c>
      <c r="L400" s="668">
        <v>126</v>
      </c>
      <c r="M400" s="669">
        <v>117</v>
      </c>
      <c r="N400" s="668"/>
      <c r="O400" s="668">
        <v>10</v>
      </c>
      <c r="P400" s="668" t="str">
        <f>IFERROR(VLOOKUP(F400, [2]MOE!B:C, 2, FALSE), "No")</f>
        <v>No</v>
      </c>
      <c r="Q400" s="711" t="s">
        <v>1045</v>
      </c>
      <c r="S400" s="670" t="s">
        <v>1292</v>
      </c>
      <c r="T400" s="668" t="s">
        <v>1043</v>
      </c>
    </row>
    <row r="401" spans="1:20">
      <c r="A401" s="679">
        <v>6101410</v>
      </c>
      <c r="B401" s="677"/>
      <c r="C401" s="672"/>
      <c r="D401" s="672"/>
      <c r="E401" s="676" t="s">
        <v>1141</v>
      </c>
      <c r="F401" s="680" t="s">
        <v>1310</v>
      </c>
      <c r="G401" s="710">
        <v>610</v>
      </c>
      <c r="H401" s="682">
        <v>1410</v>
      </c>
      <c r="J401" s="668" t="str">
        <f t="shared" si="59"/>
        <v>(2) Materials and Supplies</v>
      </c>
      <c r="L401" s="668">
        <v>122</v>
      </c>
      <c r="M401" s="669">
        <v>113</v>
      </c>
      <c r="N401" s="668"/>
      <c r="O401" s="668">
        <v>10</v>
      </c>
      <c r="P401" s="668" t="str">
        <f>IFERROR(VLOOKUP(F401, [2]MOE!B:C, 2, FALSE), "No")</f>
        <v>No</v>
      </c>
      <c r="Q401" s="711" t="s">
        <v>1045</v>
      </c>
      <c r="S401" s="670" t="s">
        <v>1292</v>
      </c>
      <c r="T401" s="668" t="s">
        <v>39</v>
      </c>
    </row>
    <row r="402" spans="1:20">
      <c r="A402" s="679">
        <v>6421410</v>
      </c>
      <c r="B402" s="677"/>
      <c r="C402" s="672"/>
      <c r="D402" s="672"/>
      <c r="E402" s="676" t="s">
        <v>1143</v>
      </c>
      <c r="F402" s="680" t="s">
        <v>1311</v>
      </c>
      <c r="G402" s="710">
        <v>642</v>
      </c>
      <c r="H402" s="682">
        <v>1410</v>
      </c>
      <c r="J402" s="668" t="str">
        <f t="shared" si="59"/>
        <v>(3) Textbooks/Workbooks</v>
      </c>
      <c r="L402" s="668">
        <v>125</v>
      </c>
      <c r="M402" s="669">
        <v>116</v>
      </c>
      <c r="N402" s="668"/>
      <c r="O402" s="668">
        <v>10</v>
      </c>
      <c r="P402" s="668" t="str">
        <f>IFERROR(VLOOKUP(F402, [2]MOE!B:C, 2, FALSE), "No")</f>
        <v>No</v>
      </c>
      <c r="Q402" s="711" t="s">
        <v>1045</v>
      </c>
      <c r="S402" s="670" t="s">
        <v>1292</v>
      </c>
      <c r="T402" s="668" t="s">
        <v>1048</v>
      </c>
    </row>
    <row r="403" spans="1:20">
      <c r="A403" s="679">
        <v>6001410</v>
      </c>
      <c r="B403" s="677"/>
      <c r="C403" s="672"/>
      <c r="D403" s="672"/>
      <c r="E403" s="676" t="s">
        <v>1145</v>
      </c>
      <c r="F403" s="680" t="s">
        <v>1312</v>
      </c>
      <c r="G403" s="710">
        <v>600</v>
      </c>
      <c r="H403" s="682">
        <v>1410</v>
      </c>
      <c r="J403" s="668" t="str">
        <f t="shared" si="59"/>
        <v>(4) Other Supplies</v>
      </c>
      <c r="L403" s="668">
        <v>126</v>
      </c>
      <c r="M403" s="669">
        <v>117</v>
      </c>
      <c r="N403" s="668"/>
      <c r="O403" s="668">
        <v>10</v>
      </c>
      <c r="P403" s="668" t="str">
        <f>IFERROR(VLOOKUP(F403, [2]MOE!B:C, 2, FALSE), "No")</f>
        <v>No</v>
      </c>
      <c r="Q403" s="711"/>
      <c r="S403" s="670" t="s">
        <v>1292</v>
      </c>
      <c r="T403" s="668" t="s">
        <v>1050</v>
      </c>
    </row>
    <row r="404" spans="1:20">
      <c r="A404" s="671"/>
      <c r="B404" s="677"/>
      <c r="C404" s="672"/>
      <c r="D404" s="672" t="s">
        <v>853</v>
      </c>
      <c r="E404" s="676" t="s">
        <v>1052</v>
      </c>
      <c r="F404" s="675"/>
      <c r="G404" s="672"/>
      <c r="H404" s="676"/>
      <c r="Q404" s="711"/>
      <c r="S404" s="670"/>
    </row>
    <row r="405" spans="1:20">
      <c r="A405" s="679">
        <v>7341410</v>
      </c>
      <c r="B405" s="677"/>
      <c r="C405" s="672"/>
      <c r="D405" s="672"/>
      <c r="E405" s="676" t="s">
        <v>1147</v>
      </c>
      <c r="F405" s="680" t="s">
        <v>1313</v>
      </c>
      <c r="G405" s="710">
        <v>734</v>
      </c>
      <c r="H405" s="682">
        <v>1410</v>
      </c>
      <c r="J405" s="668" t="str">
        <f t="shared" ref="J405:J408" si="60">E405</f>
        <v>(1) Technology-Related Hardware</v>
      </c>
      <c r="L405" s="668">
        <v>131</v>
      </c>
      <c r="M405" s="669">
        <v>122</v>
      </c>
      <c r="N405" s="668"/>
      <c r="O405" s="668">
        <v>10</v>
      </c>
      <c r="P405" s="668" t="str">
        <f>IFERROR(VLOOKUP(F405, [2]MOE!B:C, 2, FALSE), "No")</f>
        <v>No</v>
      </c>
      <c r="Q405" s="711"/>
      <c r="S405" s="670" t="s">
        <v>1292</v>
      </c>
      <c r="T405" s="668" t="s">
        <v>1053</v>
      </c>
    </row>
    <row r="406" spans="1:20">
      <c r="A406" s="679">
        <v>7351410</v>
      </c>
      <c r="B406" s="677"/>
      <c r="C406" s="672"/>
      <c r="D406" s="672"/>
      <c r="E406" s="676" t="s">
        <v>1149</v>
      </c>
      <c r="F406" s="680" t="s">
        <v>1314</v>
      </c>
      <c r="G406" s="710">
        <v>735</v>
      </c>
      <c r="H406" s="682">
        <v>1410</v>
      </c>
      <c r="J406" s="668" t="str">
        <f t="shared" si="60"/>
        <v>(2) Technology Software</v>
      </c>
      <c r="L406" s="668">
        <v>131</v>
      </c>
      <c r="M406" s="669">
        <v>122</v>
      </c>
      <c r="N406" s="668"/>
      <c r="O406" s="668">
        <v>10</v>
      </c>
      <c r="P406" s="668" t="str">
        <f>IFERROR(VLOOKUP(F406, [2]MOE!B:C, 2, FALSE), "No")</f>
        <v>No</v>
      </c>
      <c r="Q406" s="711"/>
      <c r="S406" s="670" t="s">
        <v>1292</v>
      </c>
      <c r="T406" s="668" t="s">
        <v>1055</v>
      </c>
    </row>
    <row r="407" spans="1:20">
      <c r="A407" s="679">
        <v>7301410</v>
      </c>
      <c r="B407" s="677"/>
      <c r="C407" s="672"/>
      <c r="D407" s="672"/>
      <c r="E407" s="676" t="s">
        <v>1151</v>
      </c>
      <c r="F407" s="680" t="s">
        <v>1315</v>
      </c>
      <c r="G407" s="710">
        <v>730</v>
      </c>
      <c r="H407" s="682">
        <v>1410</v>
      </c>
      <c r="J407" s="668" t="str">
        <f t="shared" si="60"/>
        <v>(3) All Other Equipment</v>
      </c>
      <c r="L407" s="668">
        <v>131</v>
      </c>
      <c r="M407" s="669">
        <v>122</v>
      </c>
      <c r="N407" s="668"/>
      <c r="O407" s="668">
        <v>10</v>
      </c>
      <c r="P407" s="668" t="str">
        <f>IFERROR(VLOOKUP(F407, [2]MOE!B:C, 2, FALSE), "No")</f>
        <v>No</v>
      </c>
      <c r="Q407" s="711"/>
      <c r="S407" s="670" t="s">
        <v>1292</v>
      </c>
      <c r="T407" s="668" t="s">
        <v>1057</v>
      </c>
    </row>
    <row r="408" spans="1:20">
      <c r="A408" s="679">
        <v>7001410</v>
      </c>
      <c r="B408" s="677"/>
      <c r="C408" s="672"/>
      <c r="D408" s="672"/>
      <c r="E408" s="676" t="s">
        <v>1153</v>
      </c>
      <c r="F408" s="680" t="s">
        <v>1316</v>
      </c>
      <c r="G408" s="710">
        <v>700</v>
      </c>
      <c r="H408" s="682">
        <v>1410</v>
      </c>
      <c r="J408" s="668" t="str">
        <f t="shared" si="60"/>
        <v>(4) Other Property</v>
      </c>
      <c r="L408" s="668">
        <v>132</v>
      </c>
      <c r="M408" s="669">
        <v>123</v>
      </c>
      <c r="N408" s="668"/>
      <c r="O408" s="668">
        <v>10</v>
      </c>
      <c r="P408" s="668" t="str">
        <f>IFERROR(VLOOKUP(F408, [2]MOE!B:C, 2, FALSE), "No")</f>
        <v>No</v>
      </c>
      <c r="Q408" s="711"/>
      <c r="S408" s="670" t="s">
        <v>1292</v>
      </c>
      <c r="T408" s="668" t="s">
        <v>1059</v>
      </c>
    </row>
    <row r="409" spans="1:20">
      <c r="A409" s="671"/>
      <c r="B409" s="677"/>
      <c r="C409" s="672"/>
      <c r="D409" s="672" t="s">
        <v>856</v>
      </c>
      <c r="E409" s="676" t="s">
        <v>256</v>
      </c>
      <c r="F409" s="675"/>
      <c r="G409" s="672"/>
      <c r="H409" s="676"/>
      <c r="Q409" s="711"/>
      <c r="S409" s="670"/>
    </row>
    <row r="410" spans="1:20">
      <c r="A410" s="679">
        <v>8951410</v>
      </c>
      <c r="B410" s="677"/>
      <c r="C410" s="672"/>
      <c r="D410" s="672"/>
      <c r="E410" s="676" t="s">
        <v>1155</v>
      </c>
      <c r="F410" s="680" t="s">
        <v>1317</v>
      </c>
      <c r="G410" s="710">
        <v>895</v>
      </c>
      <c r="H410" s="682">
        <v>1410</v>
      </c>
      <c r="J410" s="668" t="str">
        <f t="shared" ref="J410:J411" si="61">E410</f>
        <v>(1) Miscellaneous Non-Public Expenditures</v>
      </c>
      <c r="L410" s="668">
        <v>139</v>
      </c>
      <c r="M410" s="669">
        <v>129</v>
      </c>
      <c r="N410" s="668"/>
      <c r="O410" s="668">
        <v>10</v>
      </c>
      <c r="P410" s="668" t="str">
        <f>IFERROR(VLOOKUP(F410, [2]MOE!B:C, 2, FALSE), "No")</f>
        <v>No</v>
      </c>
      <c r="Q410" s="711"/>
      <c r="S410" s="670" t="s">
        <v>1292</v>
      </c>
      <c r="T410" s="668" t="s">
        <v>1061</v>
      </c>
    </row>
    <row r="411" spans="1:20">
      <c r="A411" s="679">
        <v>8001410</v>
      </c>
      <c r="B411" s="677"/>
      <c r="C411" s="672"/>
      <c r="D411" s="672"/>
      <c r="E411" s="676" t="s">
        <v>1157</v>
      </c>
      <c r="F411" s="680" t="s">
        <v>1318</v>
      </c>
      <c r="G411" s="710">
        <v>800</v>
      </c>
      <c r="H411" s="682">
        <v>1410</v>
      </c>
      <c r="J411" s="668" t="str">
        <f t="shared" si="61"/>
        <v>(2) Other Miscellaneous Expenditures</v>
      </c>
      <c r="L411" s="668">
        <v>139</v>
      </c>
      <c r="M411" s="669">
        <v>129</v>
      </c>
      <c r="N411" s="668"/>
      <c r="O411" s="668">
        <v>10</v>
      </c>
      <c r="P411" s="668" t="str">
        <f>IFERROR(VLOOKUP(F411, [2]MOE!B:C, 2, FALSE), "No")</f>
        <v>No</v>
      </c>
      <c r="Q411" s="711"/>
      <c r="S411" s="670" t="s">
        <v>1292</v>
      </c>
      <c r="T411" s="668" t="s">
        <v>1063</v>
      </c>
    </row>
    <row r="412" spans="1:20">
      <c r="A412" s="671"/>
      <c r="B412" s="677"/>
      <c r="C412" s="672"/>
      <c r="D412" s="672" t="s">
        <v>859</v>
      </c>
      <c r="E412" s="676" t="s">
        <v>1065</v>
      </c>
      <c r="F412" s="675"/>
      <c r="G412" s="672"/>
      <c r="H412" s="676"/>
      <c r="Q412" s="711"/>
      <c r="S412" s="670"/>
    </row>
    <row r="413" spans="1:20">
      <c r="A413" s="679">
        <v>2101410</v>
      </c>
      <c r="B413" s="677"/>
      <c r="C413" s="672"/>
      <c r="D413" s="672"/>
      <c r="E413" s="676" t="s">
        <v>1159</v>
      </c>
      <c r="F413" s="680" t="s">
        <v>1319</v>
      </c>
      <c r="G413" s="710">
        <v>210</v>
      </c>
      <c r="H413" s="682">
        <v>1410</v>
      </c>
      <c r="J413" s="668" t="str">
        <f t="shared" ref="J413:J415" si="62">E413</f>
        <v>(1) Group Insurance</v>
      </c>
      <c r="L413" s="668">
        <v>89</v>
      </c>
      <c r="M413" s="669">
        <v>84</v>
      </c>
      <c r="N413" s="668"/>
      <c r="O413" s="668">
        <v>10</v>
      </c>
      <c r="P413" s="668" t="str">
        <f>IFERROR(VLOOKUP(F413, [2]MOE!B:C, 2, FALSE), "No")</f>
        <v>No</v>
      </c>
      <c r="Q413" s="711" t="s">
        <v>1004</v>
      </c>
      <c r="S413" s="670" t="s">
        <v>1292</v>
      </c>
      <c r="T413" s="668" t="s">
        <v>1066</v>
      </c>
    </row>
    <row r="414" spans="1:20">
      <c r="A414" s="679">
        <v>2201410</v>
      </c>
      <c r="B414" s="677"/>
      <c r="C414" s="672"/>
      <c r="D414" s="672"/>
      <c r="E414" s="676" t="s">
        <v>1161</v>
      </c>
      <c r="F414" s="680" t="s">
        <v>1320</v>
      </c>
      <c r="G414" s="710">
        <v>220</v>
      </c>
      <c r="H414" s="682">
        <v>1410</v>
      </c>
      <c r="J414" s="668" t="str">
        <f t="shared" si="62"/>
        <v>(2) FICA</v>
      </c>
      <c r="L414" s="668">
        <v>90</v>
      </c>
      <c r="M414" s="669">
        <v>85</v>
      </c>
      <c r="N414" s="668"/>
      <c r="O414" s="668">
        <v>10</v>
      </c>
      <c r="P414" s="668" t="str">
        <f>IFERROR(VLOOKUP(F414, [2]MOE!B:C, 2, FALSE), "No")</f>
        <v>No</v>
      </c>
      <c r="Q414" s="711" t="s">
        <v>1004</v>
      </c>
      <c r="S414" s="670" t="s">
        <v>1292</v>
      </c>
      <c r="T414" s="668" t="s">
        <v>1068</v>
      </c>
    </row>
    <row r="415" spans="1:20">
      <c r="A415" s="679">
        <v>2251410</v>
      </c>
      <c r="B415" s="677"/>
      <c r="C415" s="672"/>
      <c r="D415" s="672"/>
      <c r="E415" s="676" t="s">
        <v>1163</v>
      </c>
      <c r="F415" s="680" t="s">
        <v>1321</v>
      </c>
      <c r="G415" s="710">
        <v>225</v>
      </c>
      <c r="H415" s="682">
        <v>1410</v>
      </c>
      <c r="J415" s="668" t="str">
        <f t="shared" si="62"/>
        <v>(3) Medicare</v>
      </c>
      <c r="L415" s="668">
        <v>91</v>
      </c>
      <c r="M415" s="669">
        <v>86</v>
      </c>
      <c r="N415" s="668"/>
      <c r="O415" s="668">
        <v>10</v>
      </c>
      <c r="P415" s="668" t="str">
        <f>IFERROR(VLOOKUP(F415, [2]MOE!B:C, 2, FALSE), "No")</f>
        <v>No</v>
      </c>
      <c r="Q415" s="711" t="s">
        <v>1004</v>
      </c>
      <c r="S415" s="670" t="s">
        <v>1292</v>
      </c>
      <c r="T415" s="668" t="s">
        <v>23</v>
      </c>
    </row>
    <row r="416" spans="1:20">
      <c r="A416" s="671"/>
      <c r="B416" s="677"/>
      <c r="C416" s="672"/>
      <c r="D416" s="672"/>
      <c r="E416" s="676" t="s">
        <v>1165</v>
      </c>
      <c r="F416" s="675"/>
      <c r="G416" s="672"/>
      <c r="H416" s="676"/>
      <c r="Q416" s="711"/>
      <c r="S416" s="670"/>
    </row>
    <row r="417" spans="1:20">
      <c r="A417" s="679">
        <v>2311410</v>
      </c>
      <c r="B417" s="677"/>
      <c r="C417" s="672"/>
      <c r="D417" s="672"/>
      <c r="E417" s="676" t="s">
        <v>1166</v>
      </c>
      <c r="F417" s="680" t="s">
        <v>1322</v>
      </c>
      <c r="G417" s="710">
        <v>231</v>
      </c>
      <c r="H417" s="682">
        <v>1410</v>
      </c>
      <c r="J417" s="668" t="str">
        <f t="shared" ref="J417:J425" si="63">E417</f>
        <v>(a) Louisiana Teachers Retirement</v>
      </c>
      <c r="L417" s="668">
        <v>92</v>
      </c>
      <c r="M417" s="669">
        <v>87</v>
      </c>
      <c r="N417" s="668"/>
      <c r="O417" s="668">
        <v>10</v>
      </c>
      <c r="P417" s="668" t="str">
        <f>IFERROR(VLOOKUP(F417, [2]MOE!B:C, 2, FALSE), "No")</f>
        <v>No</v>
      </c>
      <c r="Q417" s="711" t="s">
        <v>1004</v>
      </c>
      <c r="S417" s="670" t="s">
        <v>1292</v>
      </c>
      <c r="T417" s="668" t="s">
        <v>1074</v>
      </c>
    </row>
    <row r="418" spans="1:20">
      <c r="A418" s="679">
        <v>2331410</v>
      </c>
      <c r="B418" s="677"/>
      <c r="C418" s="672"/>
      <c r="D418" s="672"/>
      <c r="E418" s="676" t="s">
        <v>1168</v>
      </c>
      <c r="F418" s="680" t="s">
        <v>1323</v>
      </c>
      <c r="G418" s="710">
        <v>233</v>
      </c>
      <c r="H418" s="682">
        <v>1410</v>
      </c>
      <c r="J418" s="668" t="str">
        <f t="shared" si="63"/>
        <v>(b) Louisiana School Emp. Retirement</v>
      </c>
      <c r="L418" s="668">
        <v>92</v>
      </c>
      <c r="M418" s="669">
        <v>87</v>
      </c>
      <c r="N418" s="668"/>
      <c r="O418" s="668">
        <v>10</v>
      </c>
      <c r="P418" s="668" t="str">
        <f>IFERROR(VLOOKUP(F418, [2]MOE!B:C, 2, FALSE), "No")</f>
        <v>No</v>
      </c>
      <c r="Q418" s="711" t="s">
        <v>1004</v>
      </c>
      <c r="S418" s="670" t="s">
        <v>1292</v>
      </c>
      <c r="T418" s="668" t="s">
        <v>1170</v>
      </c>
    </row>
    <row r="419" spans="1:20">
      <c r="A419" s="679">
        <v>2391410</v>
      </c>
      <c r="B419" s="677"/>
      <c r="C419" s="672"/>
      <c r="D419" s="672"/>
      <c r="E419" s="676" t="s">
        <v>1171</v>
      </c>
      <c r="F419" s="680" t="s">
        <v>1324</v>
      </c>
      <c r="G419" s="710">
        <v>239</v>
      </c>
      <c r="H419" s="682">
        <v>1410</v>
      </c>
      <c r="J419" s="668" t="str">
        <f t="shared" si="63"/>
        <v>(c) Other Retirement</v>
      </c>
      <c r="L419" s="668">
        <v>92</v>
      </c>
      <c r="M419" s="669">
        <v>87</v>
      </c>
      <c r="N419" s="668"/>
      <c r="O419" s="668">
        <v>10</v>
      </c>
      <c r="P419" s="668" t="str">
        <f>IFERROR(VLOOKUP(F419, [2]MOE!B:C, 2, FALSE), "No")</f>
        <v>No</v>
      </c>
      <c r="Q419" s="711" t="s">
        <v>1004</v>
      </c>
      <c r="S419" s="670" t="s">
        <v>1292</v>
      </c>
      <c r="T419" s="668" t="s">
        <v>1080</v>
      </c>
    </row>
    <row r="420" spans="1:20">
      <c r="A420" s="679">
        <v>2501410</v>
      </c>
      <c r="B420" s="677"/>
      <c r="C420" s="672"/>
      <c r="D420" s="672"/>
      <c r="E420" s="676" t="s">
        <v>1173</v>
      </c>
      <c r="F420" s="680" t="s">
        <v>1325</v>
      </c>
      <c r="G420" s="710">
        <v>250</v>
      </c>
      <c r="H420" s="682">
        <v>1410</v>
      </c>
      <c r="J420" s="668" t="str">
        <f t="shared" si="63"/>
        <v>(5) Unemployment Compensation</v>
      </c>
      <c r="L420" s="668">
        <v>93</v>
      </c>
      <c r="M420" s="669">
        <v>88</v>
      </c>
      <c r="N420" s="668"/>
      <c r="O420" s="668">
        <v>10</v>
      </c>
      <c r="P420" s="668" t="str">
        <f>IFERROR(VLOOKUP(F420, [2]MOE!B:C, 2, FALSE), "No")</f>
        <v>No</v>
      </c>
      <c r="Q420" s="711" t="s">
        <v>1004</v>
      </c>
      <c r="S420" s="670" t="s">
        <v>1292</v>
      </c>
      <c r="T420" s="668" t="s">
        <v>1081</v>
      </c>
    </row>
    <row r="421" spans="1:20">
      <c r="A421" s="679">
        <v>2601410</v>
      </c>
      <c r="B421" s="677"/>
      <c r="C421" s="672"/>
      <c r="D421" s="672"/>
      <c r="E421" s="676" t="s">
        <v>1175</v>
      </c>
      <c r="F421" s="680" t="s">
        <v>1326</v>
      </c>
      <c r="G421" s="710">
        <v>260</v>
      </c>
      <c r="H421" s="682">
        <v>1410</v>
      </c>
      <c r="J421" s="668" t="str">
        <f t="shared" si="63"/>
        <v>(6) Workmen's Compensation</v>
      </c>
      <c r="L421" s="668">
        <v>95</v>
      </c>
      <c r="M421" s="669">
        <v>90</v>
      </c>
      <c r="N421" s="668"/>
      <c r="O421" s="668">
        <v>10</v>
      </c>
      <c r="P421" s="668" t="str">
        <f>IFERROR(VLOOKUP(F421, [2]MOE!B:C, 2, FALSE), "No")</f>
        <v>No</v>
      </c>
      <c r="Q421" s="711" t="s">
        <v>1004</v>
      </c>
      <c r="S421" s="670" t="s">
        <v>1292</v>
      </c>
      <c r="T421" s="668" t="s">
        <v>1083</v>
      </c>
    </row>
    <row r="422" spans="1:20">
      <c r="A422" s="679">
        <v>2701410</v>
      </c>
      <c r="B422" s="677"/>
      <c r="C422" s="672"/>
      <c r="D422" s="672"/>
      <c r="E422" s="676" t="s">
        <v>1177</v>
      </c>
      <c r="F422" s="680" t="s">
        <v>1327</v>
      </c>
      <c r="G422" s="710">
        <v>270</v>
      </c>
      <c r="H422" s="682">
        <v>1410</v>
      </c>
      <c r="J422" s="668" t="str">
        <f t="shared" si="63"/>
        <v>(7) Health Benefits (retirees)</v>
      </c>
      <c r="L422" s="668">
        <v>94</v>
      </c>
      <c r="M422" s="669">
        <v>89</v>
      </c>
      <c r="N422" s="668"/>
      <c r="O422" s="668">
        <v>10</v>
      </c>
      <c r="P422" s="668" t="str">
        <f>IFERROR(VLOOKUP(F422, [2]MOE!B:C, 2, FALSE), "No")</f>
        <v>No</v>
      </c>
      <c r="Q422" s="711" t="s">
        <v>1004</v>
      </c>
      <c r="S422" s="670" t="s">
        <v>1292</v>
      </c>
      <c r="T422" s="668" t="s">
        <v>1085</v>
      </c>
    </row>
    <row r="423" spans="1:20">
      <c r="A423" s="679">
        <v>2811410</v>
      </c>
      <c r="B423" s="677"/>
      <c r="C423" s="672"/>
      <c r="D423" s="672"/>
      <c r="E423" s="676" t="s">
        <v>1179</v>
      </c>
      <c r="F423" s="680" t="s">
        <v>1328</v>
      </c>
      <c r="G423" s="710">
        <v>281</v>
      </c>
      <c r="H423" s="682">
        <v>1410</v>
      </c>
      <c r="J423" s="668" t="str">
        <f t="shared" si="63"/>
        <v>(8) Sick Leave Severance Pay</v>
      </c>
      <c r="L423" s="668">
        <v>95</v>
      </c>
      <c r="M423" s="669">
        <v>90</v>
      </c>
      <c r="N423" s="668"/>
      <c r="O423" s="668">
        <v>10</v>
      </c>
      <c r="P423" s="668" t="str">
        <f>IFERROR(VLOOKUP(F423, [2]MOE!B:C, 2, FALSE), "No")</f>
        <v>No</v>
      </c>
      <c r="Q423" s="711" t="s">
        <v>1004</v>
      </c>
      <c r="S423" s="670" t="s">
        <v>1292</v>
      </c>
      <c r="T423" s="668" t="s">
        <v>1087</v>
      </c>
    </row>
    <row r="424" spans="1:20">
      <c r="A424" s="679">
        <v>2821410</v>
      </c>
      <c r="B424" s="677"/>
      <c r="C424" s="672"/>
      <c r="D424" s="672"/>
      <c r="E424" s="676" t="s">
        <v>1181</v>
      </c>
      <c r="F424" s="680" t="s">
        <v>1329</v>
      </c>
      <c r="G424" s="710">
        <v>282</v>
      </c>
      <c r="H424" s="682">
        <v>1410</v>
      </c>
      <c r="J424" s="668" t="str">
        <f t="shared" si="63"/>
        <v>(9) Annual Leave Severance Pay</v>
      </c>
      <c r="L424" s="668">
        <v>95</v>
      </c>
      <c r="M424" s="669">
        <v>90</v>
      </c>
      <c r="N424" s="668"/>
      <c r="O424" s="668">
        <v>10</v>
      </c>
      <c r="P424" s="668" t="str">
        <f>IFERROR(VLOOKUP(F424, [2]MOE!B:C, 2, FALSE), "No")</f>
        <v>No</v>
      </c>
      <c r="Q424" s="711" t="s">
        <v>1004</v>
      </c>
      <c r="S424" s="670" t="s">
        <v>1292</v>
      </c>
      <c r="T424" s="668" t="s">
        <v>1089</v>
      </c>
    </row>
    <row r="425" spans="1:20">
      <c r="A425" s="679">
        <v>2901410</v>
      </c>
      <c r="B425" s="719"/>
      <c r="C425" s="681"/>
      <c r="D425" s="681"/>
      <c r="E425" s="686" t="s">
        <v>1183</v>
      </c>
      <c r="F425" s="680" t="s">
        <v>1330</v>
      </c>
      <c r="G425" s="710">
        <v>290</v>
      </c>
      <c r="H425" s="682">
        <v>1410</v>
      </c>
      <c r="J425" s="668" t="str">
        <f t="shared" si="63"/>
        <v>(10) Other Employee Benefits</v>
      </c>
      <c r="L425" s="668">
        <v>95</v>
      </c>
      <c r="M425" s="669">
        <v>90</v>
      </c>
      <c r="N425" s="668"/>
      <c r="O425" s="668">
        <v>10</v>
      </c>
      <c r="P425" s="668" t="str">
        <f>IFERROR(VLOOKUP(F425, [2]MOE!B:C, 2, FALSE), "No")</f>
        <v>No</v>
      </c>
      <c r="Q425" s="711" t="s">
        <v>1004</v>
      </c>
      <c r="S425" s="670" t="s">
        <v>1292</v>
      </c>
      <c r="T425" s="668" t="s">
        <v>1092</v>
      </c>
    </row>
    <row r="426" spans="1:20">
      <c r="A426" s="671"/>
      <c r="B426" s="677"/>
      <c r="C426" s="678">
        <v>20</v>
      </c>
      <c r="D426" s="925" t="s">
        <v>1331</v>
      </c>
      <c r="E426" s="926"/>
      <c r="F426" s="675"/>
      <c r="G426" s="672"/>
      <c r="H426" s="676"/>
      <c r="Q426" s="711"/>
      <c r="S426" s="670"/>
    </row>
    <row r="427" spans="1:20">
      <c r="A427" s="671"/>
      <c r="B427" s="677"/>
      <c r="C427" s="672"/>
      <c r="D427" s="672" t="s">
        <v>759</v>
      </c>
      <c r="E427" s="676" t="s">
        <v>244</v>
      </c>
      <c r="F427" s="675"/>
      <c r="G427" s="672"/>
      <c r="H427" s="676"/>
      <c r="Q427" s="711"/>
      <c r="S427" s="670"/>
    </row>
    <row r="428" spans="1:20">
      <c r="A428" s="679">
        <v>1121420</v>
      </c>
      <c r="B428" s="677"/>
      <c r="C428" s="672"/>
      <c r="D428" s="672"/>
      <c r="E428" s="676" t="s">
        <v>1332</v>
      </c>
      <c r="F428" s="680" t="s">
        <v>1333</v>
      </c>
      <c r="G428" s="710">
        <v>112</v>
      </c>
      <c r="H428" s="682">
        <v>1420</v>
      </c>
      <c r="J428" s="668" t="str">
        <f t="shared" ref="J428:J434" si="64">E428</f>
        <v>(1) Teachers (e.g. Coaches, Dance Dir.)</v>
      </c>
      <c r="L428" s="668">
        <v>82</v>
      </c>
      <c r="M428" s="669">
        <v>77</v>
      </c>
      <c r="N428" s="668"/>
      <c r="O428" s="668">
        <v>10</v>
      </c>
      <c r="P428" s="668" t="str">
        <f>IFERROR(VLOOKUP(F428, [2]MOE!B:C, 2, FALSE), "No")</f>
        <v>No</v>
      </c>
      <c r="Q428" s="711" t="s">
        <v>1004</v>
      </c>
      <c r="S428" s="670" t="s">
        <v>1334</v>
      </c>
      <c r="T428" s="668" t="s">
        <v>1335</v>
      </c>
    </row>
    <row r="429" spans="1:20">
      <c r="A429" s="679">
        <v>1151420</v>
      </c>
      <c r="B429" s="677"/>
      <c r="C429" s="672"/>
      <c r="D429" s="672"/>
      <c r="E429" s="676" t="s">
        <v>1100</v>
      </c>
      <c r="F429" s="680" t="s">
        <v>1336</v>
      </c>
      <c r="G429" s="710">
        <v>115</v>
      </c>
      <c r="H429" s="682">
        <v>1420</v>
      </c>
      <c r="J429" s="668" t="str">
        <f t="shared" si="64"/>
        <v>(2) Para-professionals (Aides)</v>
      </c>
      <c r="L429" s="668">
        <v>86</v>
      </c>
      <c r="M429" s="669">
        <v>81</v>
      </c>
      <c r="N429" s="668"/>
      <c r="O429" s="668">
        <v>10</v>
      </c>
      <c r="P429" s="668" t="str">
        <f>IFERROR(VLOOKUP(F429, [2]MOE!B:C, 2, FALSE), "No")</f>
        <v>No</v>
      </c>
      <c r="Q429" s="711" t="s">
        <v>1004</v>
      </c>
      <c r="S429" s="670" t="s">
        <v>1334</v>
      </c>
      <c r="T429" s="668" t="s">
        <v>1102</v>
      </c>
    </row>
    <row r="430" spans="1:20">
      <c r="A430" s="679">
        <v>1231420</v>
      </c>
      <c r="B430" s="677"/>
      <c r="C430" s="672"/>
      <c r="D430" s="672"/>
      <c r="E430" s="676" t="s">
        <v>1103</v>
      </c>
      <c r="F430" s="680" t="s">
        <v>1337</v>
      </c>
      <c r="G430" s="710">
        <v>123</v>
      </c>
      <c r="H430" s="682">
        <v>1420</v>
      </c>
      <c r="J430" s="668" t="str">
        <f t="shared" si="64"/>
        <v>(3) Substitute Teachers</v>
      </c>
      <c r="L430" s="668">
        <v>86</v>
      </c>
      <c r="M430" s="669">
        <v>81</v>
      </c>
      <c r="N430" s="668"/>
      <c r="O430" s="668">
        <v>10</v>
      </c>
      <c r="P430" s="668" t="str">
        <f>IFERROR(VLOOKUP(F430, [2]MOE!B:C, 2, FALSE), "No")</f>
        <v>No</v>
      </c>
      <c r="Q430" s="711" t="s">
        <v>1004</v>
      </c>
      <c r="S430" s="670" t="s">
        <v>1334</v>
      </c>
      <c r="T430" s="668" t="s">
        <v>1105</v>
      </c>
    </row>
    <row r="431" spans="1:20">
      <c r="A431" s="679">
        <v>1201420</v>
      </c>
      <c r="B431" s="677"/>
      <c r="C431" s="672"/>
      <c r="D431" s="672"/>
      <c r="E431" s="676" t="s">
        <v>1106</v>
      </c>
      <c r="F431" s="680" t="s">
        <v>1338</v>
      </c>
      <c r="G431" s="710">
        <v>120</v>
      </c>
      <c r="H431" s="682">
        <v>1420</v>
      </c>
      <c r="J431" s="668" t="str">
        <f t="shared" si="64"/>
        <v>(4) Other Substitute/Temp. Employees</v>
      </c>
      <c r="L431" s="668">
        <v>86</v>
      </c>
      <c r="M431" s="669">
        <v>81</v>
      </c>
      <c r="N431" s="668"/>
      <c r="O431" s="668">
        <v>10</v>
      </c>
      <c r="P431" s="668" t="str">
        <f>IFERROR(VLOOKUP(F431, [2]MOE!B:C, 2, FALSE), "No")</f>
        <v>No</v>
      </c>
      <c r="Q431" s="711" t="s">
        <v>1004</v>
      </c>
      <c r="S431" s="670" t="s">
        <v>1334</v>
      </c>
      <c r="T431" s="668" t="s">
        <v>1108</v>
      </c>
    </row>
    <row r="432" spans="1:20">
      <c r="A432" s="679">
        <v>1001420</v>
      </c>
      <c r="B432" s="677"/>
      <c r="C432" s="672"/>
      <c r="D432" s="672"/>
      <c r="E432" s="676" t="s">
        <v>1109</v>
      </c>
      <c r="F432" s="680" t="s">
        <v>1339</v>
      </c>
      <c r="G432" s="710">
        <v>100</v>
      </c>
      <c r="H432" s="682">
        <v>1420</v>
      </c>
      <c r="J432" s="668" t="str">
        <f t="shared" si="64"/>
        <v>(5) Other Instructional Salaries</v>
      </c>
      <c r="L432" s="668">
        <v>86</v>
      </c>
      <c r="M432" s="669">
        <v>81</v>
      </c>
      <c r="N432" s="668"/>
      <c r="O432" s="668">
        <v>10</v>
      </c>
      <c r="P432" s="668" t="str">
        <f>IFERROR(VLOOKUP(F432, [2]MOE!B:C, 2, FALSE), "No")</f>
        <v>No</v>
      </c>
      <c r="Q432" s="711" t="s">
        <v>1004</v>
      </c>
      <c r="S432" s="670" t="s">
        <v>1334</v>
      </c>
      <c r="T432" s="668" t="s">
        <v>1017</v>
      </c>
    </row>
    <row r="433" spans="1:20">
      <c r="A433" s="679">
        <v>1401420</v>
      </c>
      <c r="B433" s="677"/>
      <c r="C433" s="672"/>
      <c r="D433" s="672"/>
      <c r="E433" s="676" t="s">
        <v>1111</v>
      </c>
      <c r="F433" s="680" t="s">
        <v>1340</v>
      </c>
      <c r="G433" s="710">
        <v>140</v>
      </c>
      <c r="H433" s="682">
        <v>1420</v>
      </c>
      <c r="J433" s="668" t="str">
        <f t="shared" si="64"/>
        <v>(6) Sabbatical Leave</v>
      </c>
      <c r="L433" s="668">
        <v>86</v>
      </c>
      <c r="M433" s="669">
        <v>81</v>
      </c>
      <c r="N433" s="668"/>
      <c r="O433" s="668">
        <v>10</v>
      </c>
      <c r="P433" s="668" t="str">
        <f>IFERROR(VLOOKUP(F433, [2]MOE!B:C, 2, FALSE), "No")</f>
        <v>No</v>
      </c>
      <c r="Q433" s="711" t="s">
        <v>1004</v>
      </c>
      <c r="S433" s="670" t="s">
        <v>1334</v>
      </c>
      <c r="T433" s="668" t="s">
        <v>1019</v>
      </c>
    </row>
    <row r="434" spans="1:20">
      <c r="A434" s="679">
        <v>3001420</v>
      </c>
      <c r="B434" s="677"/>
      <c r="C434" s="672"/>
      <c r="D434" s="672" t="s">
        <v>777</v>
      </c>
      <c r="E434" s="676" t="s">
        <v>1113</v>
      </c>
      <c r="F434" s="680" t="s">
        <v>1341</v>
      </c>
      <c r="G434" s="710">
        <v>300</v>
      </c>
      <c r="H434" s="682">
        <v>1420</v>
      </c>
      <c r="J434" s="668" t="str">
        <f t="shared" si="64"/>
        <v>Purchased Professional and Technical Svcs</v>
      </c>
      <c r="L434" s="668">
        <v>101</v>
      </c>
      <c r="M434" s="669">
        <v>96</v>
      </c>
      <c r="N434" s="668"/>
      <c r="O434" s="668">
        <v>10</v>
      </c>
      <c r="P434" s="668" t="str">
        <f>IFERROR(VLOOKUP(F434, [2]MOE!B:C, 2, FALSE), "No")</f>
        <v>No</v>
      </c>
      <c r="Q434" s="711"/>
      <c r="S434" s="670" t="s">
        <v>1334</v>
      </c>
      <c r="T434" s="668" t="s">
        <v>1113</v>
      </c>
    </row>
    <row r="435" spans="1:20">
      <c r="A435" s="671"/>
      <c r="B435" s="677"/>
      <c r="C435" s="672"/>
      <c r="D435" s="672" t="s">
        <v>801</v>
      </c>
      <c r="E435" s="676" t="s">
        <v>250</v>
      </c>
      <c r="F435" s="675"/>
      <c r="G435" s="672"/>
      <c r="H435" s="676"/>
      <c r="Q435" s="711"/>
      <c r="S435" s="670"/>
    </row>
    <row r="436" spans="1:20">
      <c r="A436" s="679">
        <v>4301420</v>
      </c>
      <c r="B436" s="677"/>
      <c r="C436" s="672"/>
      <c r="D436" s="672"/>
      <c r="E436" s="676" t="s">
        <v>1115</v>
      </c>
      <c r="F436" s="680" t="s">
        <v>1342</v>
      </c>
      <c r="G436" s="710">
        <v>430</v>
      </c>
      <c r="H436" s="682">
        <v>1420</v>
      </c>
      <c r="J436" s="668" t="str">
        <f t="shared" ref="J436:J438" si="65">E436</f>
        <v>(1) Repairs and Maintenance Services</v>
      </c>
      <c r="L436" s="668">
        <v>107</v>
      </c>
      <c r="M436" s="669">
        <v>102</v>
      </c>
      <c r="N436" s="668"/>
      <c r="O436" s="668">
        <v>10</v>
      </c>
      <c r="P436" s="668" t="str">
        <f>IFERROR(VLOOKUP(F436, [2]MOE!B:C, 2, FALSE), "No")</f>
        <v>No</v>
      </c>
      <c r="Q436" s="711"/>
      <c r="S436" s="670" t="s">
        <v>1334</v>
      </c>
      <c r="T436" s="668" t="s">
        <v>1023</v>
      </c>
    </row>
    <row r="437" spans="1:20">
      <c r="A437" s="679">
        <v>4421420</v>
      </c>
      <c r="B437" s="677"/>
      <c r="C437" s="672"/>
      <c r="D437" s="672"/>
      <c r="E437" s="676" t="s">
        <v>1117</v>
      </c>
      <c r="F437" s="680" t="s">
        <v>1343</v>
      </c>
      <c r="G437" s="710">
        <v>442</v>
      </c>
      <c r="H437" s="682">
        <v>1420</v>
      </c>
      <c r="J437" s="668" t="str">
        <f t="shared" si="65"/>
        <v>(2) Rental of Equipment</v>
      </c>
      <c r="L437" s="668">
        <v>106</v>
      </c>
      <c r="M437" s="669">
        <v>101</v>
      </c>
      <c r="N437" s="668"/>
      <c r="O437" s="668">
        <v>10</v>
      </c>
      <c r="P437" s="668" t="str">
        <f>IFERROR(VLOOKUP(F437, [2]MOE!B:C, 2, FALSE), "No")</f>
        <v>No</v>
      </c>
      <c r="Q437" s="711"/>
      <c r="S437" s="670" t="s">
        <v>1334</v>
      </c>
      <c r="T437" s="668" t="s">
        <v>1025</v>
      </c>
    </row>
    <row r="438" spans="1:20">
      <c r="A438" s="679">
        <v>4001420</v>
      </c>
      <c r="B438" s="677"/>
      <c r="C438" s="672"/>
      <c r="D438" s="672"/>
      <c r="E438" s="676" t="s">
        <v>1119</v>
      </c>
      <c r="F438" s="680" t="s">
        <v>1344</v>
      </c>
      <c r="G438" s="710">
        <v>400</v>
      </c>
      <c r="H438" s="682">
        <v>1420</v>
      </c>
      <c r="J438" s="668" t="str">
        <f t="shared" si="65"/>
        <v>(3) Other Purchased Property Services</v>
      </c>
      <c r="L438" s="668">
        <v>108</v>
      </c>
      <c r="M438" s="669">
        <v>103</v>
      </c>
      <c r="N438" s="668"/>
      <c r="O438" s="668">
        <v>10</v>
      </c>
      <c r="P438" s="668" t="str">
        <f>IFERROR(VLOOKUP(F438, [2]MOE!B:C, 2, FALSE), "No")</f>
        <v>No</v>
      </c>
      <c r="Q438" s="711"/>
      <c r="S438" s="670" t="s">
        <v>1334</v>
      </c>
      <c r="T438" s="668" t="s">
        <v>1027</v>
      </c>
    </row>
    <row r="439" spans="1:20">
      <c r="A439" s="671"/>
      <c r="B439" s="677"/>
      <c r="C439" s="672"/>
      <c r="D439" s="672" t="s">
        <v>805</v>
      </c>
      <c r="E439" s="676" t="s">
        <v>252</v>
      </c>
      <c r="F439" s="675"/>
      <c r="G439" s="672"/>
      <c r="H439" s="676"/>
      <c r="Q439" s="711"/>
      <c r="S439" s="670"/>
    </row>
    <row r="440" spans="1:20">
      <c r="A440" s="671"/>
      <c r="B440" s="677"/>
      <c r="C440" s="672"/>
      <c r="D440" s="672"/>
      <c r="E440" s="676" t="s">
        <v>1121</v>
      </c>
      <c r="F440" s="675"/>
      <c r="G440" s="672"/>
      <c r="H440" s="676"/>
      <c r="Q440" s="711"/>
      <c r="S440" s="670"/>
    </row>
    <row r="441" spans="1:20">
      <c r="A441" s="679">
        <v>5611420</v>
      </c>
      <c r="B441" s="677"/>
      <c r="C441" s="672"/>
      <c r="D441" s="672"/>
      <c r="E441" s="676" t="s">
        <v>1122</v>
      </c>
      <c r="F441" s="680" t="s">
        <v>1345</v>
      </c>
      <c r="G441" s="710">
        <v>561</v>
      </c>
      <c r="H441" s="682">
        <v>1420</v>
      </c>
      <c r="J441" s="668" t="str">
        <f t="shared" ref="J441:J445" si="66">E441</f>
        <v>(a) Paid to Other LEA (In-State)</v>
      </c>
      <c r="L441" s="668">
        <v>119</v>
      </c>
      <c r="M441" s="669">
        <v>110</v>
      </c>
      <c r="N441" s="668"/>
      <c r="O441" s="668">
        <v>10</v>
      </c>
      <c r="P441" s="668" t="str">
        <f>IFERROR(VLOOKUP(F441, [2]MOE!B:C, 2, FALSE), "No")</f>
        <v>No</v>
      </c>
      <c r="Q441" s="711"/>
      <c r="S441" s="670" t="s">
        <v>1334</v>
      </c>
      <c r="T441" s="668" t="s">
        <v>1032</v>
      </c>
    </row>
    <row r="442" spans="1:20">
      <c r="A442" s="679">
        <v>5621420</v>
      </c>
      <c r="B442" s="677"/>
      <c r="C442" s="672"/>
      <c r="D442" s="672"/>
      <c r="E442" s="676" t="s">
        <v>1124</v>
      </c>
      <c r="F442" s="680" t="s">
        <v>1346</v>
      </c>
      <c r="G442" s="710">
        <v>562</v>
      </c>
      <c r="H442" s="682">
        <v>1420</v>
      </c>
      <c r="J442" s="668" t="str">
        <f t="shared" si="66"/>
        <v>(b) Paid to Other LEA (Out-of-State)</v>
      </c>
      <c r="L442" s="668">
        <v>119</v>
      </c>
      <c r="M442" s="669">
        <v>110</v>
      </c>
      <c r="N442" s="668"/>
      <c r="O442" s="668">
        <v>10</v>
      </c>
      <c r="P442" s="668" t="str">
        <f>IFERROR(VLOOKUP(F442, [2]MOE!B:C, 2, FALSE), "No")</f>
        <v>No</v>
      </c>
      <c r="Q442" s="711"/>
      <c r="S442" s="670" t="s">
        <v>1334</v>
      </c>
      <c r="T442" s="668" t="s">
        <v>1035</v>
      </c>
    </row>
    <row r="443" spans="1:20">
      <c r="A443" s="679">
        <v>5631420</v>
      </c>
      <c r="B443" s="677"/>
      <c r="C443" s="672"/>
      <c r="D443" s="672"/>
      <c r="E443" s="676" t="s">
        <v>1305</v>
      </c>
      <c r="F443" s="680" t="s">
        <v>1347</v>
      </c>
      <c r="G443" s="710">
        <v>563</v>
      </c>
      <c r="H443" s="682">
        <v>1420</v>
      </c>
      <c r="J443" s="668" t="str">
        <f t="shared" si="66"/>
        <v>(c) Paid to Private Sources</v>
      </c>
      <c r="L443" s="668">
        <v>119</v>
      </c>
      <c r="M443" s="669">
        <v>110</v>
      </c>
      <c r="N443" s="668"/>
      <c r="O443" s="668">
        <v>10</v>
      </c>
      <c r="P443" s="668" t="str">
        <f>IFERROR(VLOOKUP(F443, [2]MOE!B:C, 2, FALSE), "No")</f>
        <v>No</v>
      </c>
      <c r="Q443" s="711"/>
      <c r="S443" s="670" t="s">
        <v>1334</v>
      </c>
      <c r="T443" s="668" t="s">
        <v>1038</v>
      </c>
    </row>
    <row r="444" spans="1:20">
      <c r="A444" s="679">
        <v>5821420</v>
      </c>
      <c r="B444" s="677"/>
      <c r="C444" s="672"/>
      <c r="D444" s="672"/>
      <c r="E444" s="676" t="s">
        <v>1135</v>
      </c>
      <c r="F444" s="680" t="s">
        <v>1348</v>
      </c>
      <c r="G444" s="710">
        <v>582</v>
      </c>
      <c r="H444" s="682">
        <v>1420</v>
      </c>
      <c r="J444" s="668" t="str">
        <f t="shared" si="66"/>
        <v>(2) Travel Expense Reimbursement</v>
      </c>
      <c r="L444" s="668">
        <v>118</v>
      </c>
      <c r="M444" s="669">
        <v>109</v>
      </c>
      <c r="N444" s="668"/>
      <c r="O444" s="668">
        <v>10</v>
      </c>
      <c r="P444" s="668" t="str">
        <f>IFERROR(VLOOKUP(F444, [2]MOE!B:C, 2, FALSE), "No")</f>
        <v>No</v>
      </c>
      <c r="Q444" s="711"/>
      <c r="S444" s="670" t="s">
        <v>1334</v>
      </c>
      <c r="T444" s="668" t="s">
        <v>1039</v>
      </c>
    </row>
    <row r="445" spans="1:20">
      <c r="A445" s="679">
        <v>5001420</v>
      </c>
      <c r="B445" s="677"/>
      <c r="C445" s="672"/>
      <c r="D445" s="672"/>
      <c r="E445" s="676" t="s">
        <v>1137</v>
      </c>
      <c r="F445" s="680" t="s">
        <v>1349</v>
      </c>
      <c r="G445" s="710">
        <v>500</v>
      </c>
      <c r="H445" s="682">
        <v>1420</v>
      </c>
      <c r="J445" s="668" t="str">
        <f t="shared" si="66"/>
        <v>(3) Other Purchased Services</v>
      </c>
      <c r="L445" s="668">
        <v>119</v>
      </c>
      <c r="M445" s="669">
        <v>110</v>
      </c>
      <c r="N445" s="668"/>
      <c r="O445" s="668">
        <v>10</v>
      </c>
      <c r="P445" s="668" t="str">
        <f>IFERROR(VLOOKUP(F445, [2]MOE!B:C, 2, FALSE), "No")</f>
        <v>No</v>
      </c>
      <c r="Q445" s="711"/>
      <c r="S445" s="670" t="s">
        <v>1334</v>
      </c>
      <c r="T445" s="668" t="s">
        <v>252</v>
      </c>
    </row>
    <row r="446" spans="1:20">
      <c r="A446" s="671"/>
      <c r="B446" s="677"/>
      <c r="C446" s="672"/>
      <c r="D446" s="672" t="s">
        <v>850</v>
      </c>
      <c r="E446" s="676" t="s">
        <v>1042</v>
      </c>
      <c r="F446" s="675"/>
      <c r="G446" s="672"/>
      <c r="H446" s="676"/>
      <c r="Q446" s="711"/>
      <c r="S446" s="670"/>
    </row>
    <row r="447" spans="1:20">
      <c r="A447" s="679">
        <v>6151420</v>
      </c>
      <c r="B447" s="677"/>
      <c r="C447" s="672"/>
      <c r="D447" s="672"/>
      <c r="E447" s="676" t="s">
        <v>1139</v>
      </c>
      <c r="F447" s="680" t="s">
        <v>1350</v>
      </c>
      <c r="G447" s="710">
        <v>615</v>
      </c>
      <c r="H447" s="682">
        <v>1420</v>
      </c>
      <c r="J447" s="668" t="str">
        <f t="shared" ref="J447:J450" si="67">E447</f>
        <v>(1) Technology-Related Supplies</v>
      </c>
      <c r="L447" s="668">
        <v>126</v>
      </c>
      <c r="M447" s="669">
        <v>117</v>
      </c>
      <c r="N447" s="668"/>
      <c r="O447" s="668">
        <v>10</v>
      </c>
      <c r="P447" s="668" t="str">
        <f>IFERROR(VLOOKUP(F447, [2]MOE!B:C, 2, FALSE), "No")</f>
        <v>No</v>
      </c>
      <c r="Q447" s="711" t="s">
        <v>1045</v>
      </c>
      <c r="S447" s="670" t="s">
        <v>1334</v>
      </c>
      <c r="T447" s="668" t="s">
        <v>1043</v>
      </c>
    </row>
    <row r="448" spans="1:20">
      <c r="A448" s="679">
        <v>6101420</v>
      </c>
      <c r="B448" s="677"/>
      <c r="C448" s="672"/>
      <c r="D448" s="672"/>
      <c r="E448" s="676" t="s">
        <v>1141</v>
      </c>
      <c r="F448" s="680" t="s">
        <v>1351</v>
      </c>
      <c r="G448" s="710">
        <v>610</v>
      </c>
      <c r="H448" s="682">
        <v>1420</v>
      </c>
      <c r="J448" s="668" t="str">
        <f t="shared" si="67"/>
        <v>(2) Materials and Supplies</v>
      </c>
      <c r="L448" s="668">
        <v>122</v>
      </c>
      <c r="M448" s="669">
        <v>113</v>
      </c>
      <c r="N448" s="668"/>
      <c r="O448" s="668">
        <v>10</v>
      </c>
      <c r="P448" s="668" t="str">
        <f>IFERROR(VLOOKUP(F448, [2]MOE!B:C, 2, FALSE), "No")</f>
        <v>No</v>
      </c>
      <c r="Q448" s="711" t="s">
        <v>1045</v>
      </c>
      <c r="S448" s="670" t="s">
        <v>1334</v>
      </c>
      <c r="T448" s="668" t="s">
        <v>39</v>
      </c>
    </row>
    <row r="449" spans="1:20">
      <c r="A449" s="679">
        <v>6421420</v>
      </c>
      <c r="B449" s="677"/>
      <c r="C449" s="672"/>
      <c r="D449" s="672"/>
      <c r="E449" s="676" t="s">
        <v>1143</v>
      </c>
      <c r="F449" s="680" t="s">
        <v>1352</v>
      </c>
      <c r="G449" s="710">
        <v>642</v>
      </c>
      <c r="H449" s="682">
        <v>1420</v>
      </c>
      <c r="J449" s="668" t="str">
        <f t="shared" si="67"/>
        <v>(3) Textbooks/Workbooks</v>
      </c>
      <c r="L449" s="668">
        <v>125</v>
      </c>
      <c r="M449" s="669">
        <v>116</v>
      </c>
      <c r="N449" s="668"/>
      <c r="O449" s="668">
        <v>10</v>
      </c>
      <c r="P449" s="668" t="str">
        <f>IFERROR(VLOOKUP(F449, [2]MOE!B:C, 2, FALSE), "No")</f>
        <v>No</v>
      </c>
      <c r="Q449" s="711" t="s">
        <v>1045</v>
      </c>
      <c r="S449" s="670" t="s">
        <v>1334</v>
      </c>
      <c r="T449" s="668" t="s">
        <v>1048</v>
      </c>
    </row>
    <row r="450" spans="1:20">
      <c r="A450" s="679">
        <v>6001420</v>
      </c>
      <c r="B450" s="677"/>
      <c r="C450" s="672"/>
      <c r="D450" s="672"/>
      <c r="E450" s="676" t="s">
        <v>1145</v>
      </c>
      <c r="F450" s="680" t="s">
        <v>1353</v>
      </c>
      <c r="G450" s="710">
        <v>600</v>
      </c>
      <c r="H450" s="682">
        <v>1420</v>
      </c>
      <c r="J450" s="668" t="str">
        <f t="shared" si="67"/>
        <v>(4) Other Supplies</v>
      </c>
      <c r="L450" s="668">
        <v>126</v>
      </c>
      <c r="M450" s="669">
        <v>117</v>
      </c>
      <c r="N450" s="668"/>
      <c r="O450" s="668">
        <v>10</v>
      </c>
      <c r="P450" s="668" t="str">
        <f>IFERROR(VLOOKUP(F450, [2]MOE!B:C, 2, FALSE), "No")</f>
        <v>No</v>
      </c>
      <c r="Q450" s="711"/>
      <c r="S450" s="670" t="s">
        <v>1334</v>
      </c>
      <c r="T450" s="668" t="s">
        <v>1050</v>
      </c>
    </row>
    <row r="451" spans="1:20">
      <c r="A451" s="671"/>
      <c r="B451" s="677"/>
      <c r="C451" s="672"/>
      <c r="D451" s="672" t="s">
        <v>853</v>
      </c>
      <c r="E451" s="676" t="s">
        <v>1052</v>
      </c>
      <c r="F451" s="675"/>
      <c r="G451" s="672"/>
      <c r="H451" s="676"/>
      <c r="Q451" s="711"/>
      <c r="S451" s="670"/>
    </row>
    <row r="452" spans="1:20">
      <c r="A452" s="679">
        <v>7341420</v>
      </c>
      <c r="B452" s="677"/>
      <c r="C452" s="672"/>
      <c r="D452" s="672"/>
      <c r="E452" s="676" t="s">
        <v>1147</v>
      </c>
      <c r="F452" s="680" t="s">
        <v>1354</v>
      </c>
      <c r="G452" s="710">
        <v>734</v>
      </c>
      <c r="H452" s="682">
        <v>1420</v>
      </c>
      <c r="J452" s="668" t="str">
        <f t="shared" ref="J452:J455" si="68">E452</f>
        <v>(1) Technology-Related Hardware</v>
      </c>
      <c r="L452" s="668">
        <v>131</v>
      </c>
      <c r="M452" s="669">
        <v>122</v>
      </c>
      <c r="N452" s="668"/>
      <c r="O452" s="668">
        <v>10</v>
      </c>
      <c r="P452" s="668" t="str">
        <f>IFERROR(VLOOKUP(F452, [2]MOE!B:C, 2, FALSE), "No")</f>
        <v>No</v>
      </c>
      <c r="Q452" s="711"/>
      <c r="S452" s="670" t="s">
        <v>1334</v>
      </c>
      <c r="T452" s="668" t="s">
        <v>1053</v>
      </c>
    </row>
    <row r="453" spans="1:20">
      <c r="A453" s="679">
        <v>7351420</v>
      </c>
      <c r="B453" s="677"/>
      <c r="C453" s="672"/>
      <c r="D453" s="672"/>
      <c r="E453" s="676" t="s">
        <v>1149</v>
      </c>
      <c r="F453" s="680" t="s">
        <v>1355</v>
      </c>
      <c r="G453" s="710">
        <v>735</v>
      </c>
      <c r="H453" s="682">
        <v>1420</v>
      </c>
      <c r="J453" s="668" t="str">
        <f t="shared" si="68"/>
        <v>(2) Technology Software</v>
      </c>
      <c r="L453" s="668">
        <v>131</v>
      </c>
      <c r="M453" s="669">
        <v>122</v>
      </c>
      <c r="N453" s="668"/>
      <c r="O453" s="668">
        <v>10</v>
      </c>
      <c r="P453" s="668" t="str">
        <f>IFERROR(VLOOKUP(F453, [2]MOE!B:C, 2, FALSE), "No")</f>
        <v>No</v>
      </c>
      <c r="Q453" s="711"/>
      <c r="S453" s="670" t="s">
        <v>1334</v>
      </c>
      <c r="T453" s="668" t="s">
        <v>1055</v>
      </c>
    </row>
    <row r="454" spans="1:20">
      <c r="A454" s="679">
        <v>7301420</v>
      </c>
      <c r="B454" s="677"/>
      <c r="C454" s="672"/>
      <c r="D454" s="672"/>
      <c r="E454" s="676" t="s">
        <v>1151</v>
      </c>
      <c r="F454" s="680" t="s">
        <v>1356</v>
      </c>
      <c r="G454" s="710">
        <v>730</v>
      </c>
      <c r="H454" s="682">
        <v>1420</v>
      </c>
      <c r="J454" s="668" t="str">
        <f t="shared" si="68"/>
        <v>(3) All Other Equipment</v>
      </c>
      <c r="L454" s="668">
        <v>131</v>
      </c>
      <c r="M454" s="669">
        <v>122</v>
      </c>
      <c r="N454" s="668"/>
      <c r="O454" s="668">
        <v>10</v>
      </c>
      <c r="P454" s="668" t="str">
        <f>IFERROR(VLOOKUP(F454, [2]MOE!B:C, 2, FALSE), "No")</f>
        <v>No</v>
      </c>
      <c r="Q454" s="711"/>
      <c r="S454" s="670" t="s">
        <v>1334</v>
      </c>
      <c r="T454" s="668" t="s">
        <v>1057</v>
      </c>
    </row>
    <row r="455" spans="1:20">
      <c r="A455" s="679">
        <v>7001420</v>
      </c>
      <c r="B455" s="677"/>
      <c r="C455" s="672"/>
      <c r="D455" s="672"/>
      <c r="E455" s="676" t="s">
        <v>1153</v>
      </c>
      <c r="F455" s="680" t="s">
        <v>1357</v>
      </c>
      <c r="G455" s="710">
        <v>700</v>
      </c>
      <c r="H455" s="682">
        <v>1420</v>
      </c>
      <c r="J455" s="668" t="str">
        <f t="shared" si="68"/>
        <v>(4) Other Property</v>
      </c>
      <c r="L455" s="668">
        <v>132</v>
      </c>
      <c r="M455" s="669">
        <v>123</v>
      </c>
      <c r="N455" s="668"/>
      <c r="O455" s="668">
        <v>10</v>
      </c>
      <c r="P455" s="668" t="str">
        <f>IFERROR(VLOOKUP(F455, [2]MOE!B:C, 2, FALSE), "No")</f>
        <v>No</v>
      </c>
      <c r="Q455" s="711"/>
      <c r="S455" s="670" t="s">
        <v>1334</v>
      </c>
      <c r="T455" s="668" t="s">
        <v>1059</v>
      </c>
    </row>
    <row r="456" spans="1:20">
      <c r="A456" s="671"/>
      <c r="B456" s="677"/>
      <c r="C456" s="672"/>
      <c r="D456" s="672" t="s">
        <v>856</v>
      </c>
      <c r="E456" s="676" t="s">
        <v>256</v>
      </c>
      <c r="F456" s="675"/>
      <c r="G456" s="672"/>
      <c r="H456" s="676"/>
      <c r="Q456" s="711"/>
      <c r="S456" s="670"/>
    </row>
    <row r="457" spans="1:20">
      <c r="A457" s="679">
        <v>8501420</v>
      </c>
      <c r="B457" s="677"/>
      <c r="C457" s="672"/>
      <c r="D457" s="672"/>
      <c r="E457" s="676" t="s">
        <v>1155</v>
      </c>
      <c r="F457" s="680" t="s">
        <v>1358</v>
      </c>
      <c r="G457" s="710">
        <v>850</v>
      </c>
      <c r="H457" s="682">
        <v>1420</v>
      </c>
      <c r="J457" s="668" t="str">
        <f t="shared" ref="J457:J458" si="69">E457</f>
        <v>(1) Miscellaneous Non-Public Expenditures</v>
      </c>
      <c r="L457" s="668">
        <v>139</v>
      </c>
      <c r="M457" s="669">
        <v>129</v>
      </c>
      <c r="N457" s="668"/>
      <c r="O457" s="668">
        <v>10</v>
      </c>
      <c r="P457" s="668" t="str">
        <f>IFERROR(VLOOKUP(F457, [2]MOE!B:C, 2, FALSE), "No")</f>
        <v>No</v>
      </c>
      <c r="Q457" s="711"/>
      <c r="S457" s="670" t="s">
        <v>1334</v>
      </c>
      <c r="T457" s="668" t="s">
        <v>1061</v>
      </c>
    </row>
    <row r="458" spans="1:20">
      <c r="A458" s="679">
        <v>8001420</v>
      </c>
      <c r="B458" s="677"/>
      <c r="C458" s="672"/>
      <c r="D458" s="672"/>
      <c r="E458" s="676" t="s">
        <v>1157</v>
      </c>
      <c r="F458" s="680" t="s">
        <v>1359</v>
      </c>
      <c r="G458" s="710">
        <v>800</v>
      </c>
      <c r="H458" s="682">
        <v>1420</v>
      </c>
      <c r="J458" s="668" t="str">
        <f t="shared" si="69"/>
        <v>(2) Other Miscellaneous Expenditures</v>
      </c>
      <c r="L458" s="668">
        <v>139</v>
      </c>
      <c r="M458" s="669">
        <v>129</v>
      </c>
      <c r="N458" s="668"/>
      <c r="O458" s="668">
        <v>10</v>
      </c>
      <c r="P458" s="668" t="str">
        <f>IFERROR(VLOOKUP(F458, [2]MOE!B:C, 2, FALSE), "No")</f>
        <v>No</v>
      </c>
      <c r="Q458" s="711"/>
      <c r="S458" s="670" t="s">
        <v>1334</v>
      </c>
      <c r="T458" s="668" t="s">
        <v>1063</v>
      </c>
    </row>
    <row r="459" spans="1:20">
      <c r="A459" s="671"/>
      <c r="B459" s="677"/>
      <c r="C459" s="672"/>
      <c r="D459" s="672" t="s">
        <v>859</v>
      </c>
      <c r="E459" s="676" t="s">
        <v>1065</v>
      </c>
      <c r="F459" s="675"/>
      <c r="G459" s="672"/>
      <c r="H459" s="676"/>
      <c r="Q459" s="711"/>
      <c r="S459" s="670"/>
    </row>
    <row r="460" spans="1:20">
      <c r="A460" s="679">
        <v>2101420</v>
      </c>
      <c r="B460" s="677"/>
      <c r="C460" s="672"/>
      <c r="D460" s="672"/>
      <c r="E460" s="676" t="s">
        <v>1159</v>
      </c>
      <c r="F460" s="680" t="s">
        <v>1360</v>
      </c>
      <c r="G460" s="710">
        <v>210</v>
      </c>
      <c r="H460" s="682">
        <v>1420</v>
      </c>
      <c r="J460" s="668" t="str">
        <f t="shared" ref="J460:J462" si="70">E460</f>
        <v>(1) Group Insurance</v>
      </c>
      <c r="L460" s="668">
        <v>89</v>
      </c>
      <c r="M460" s="669">
        <v>84</v>
      </c>
      <c r="N460" s="668"/>
      <c r="O460" s="668">
        <v>10</v>
      </c>
      <c r="P460" s="668" t="str">
        <f>IFERROR(VLOOKUP(F460, [2]MOE!B:C, 2, FALSE), "No")</f>
        <v>No</v>
      </c>
      <c r="Q460" s="711" t="s">
        <v>1004</v>
      </c>
      <c r="S460" s="670" t="s">
        <v>1334</v>
      </c>
      <c r="T460" s="668" t="s">
        <v>1066</v>
      </c>
    </row>
    <row r="461" spans="1:20">
      <c r="A461" s="679">
        <v>2201420</v>
      </c>
      <c r="B461" s="677"/>
      <c r="C461" s="672"/>
      <c r="D461" s="672"/>
      <c r="E461" s="676" t="s">
        <v>1161</v>
      </c>
      <c r="F461" s="680" t="s">
        <v>1361</v>
      </c>
      <c r="G461" s="710">
        <v>220</v>
      </c>
      <c r="H461" s="682">
        <v>1420</v>
      </c>
      <c r="J461" s="668" t="str">
        <f t="shared" si="70"/>
        <v>(2) FICA</v>
      </c>
      <c r="L461" s="668">
        <v>90</v>
      </c>
      <c r="M461" s="669">
        <v>85</v>
      </c>
      <c r="N461" s="668"/>
      <c r="O461" s="668">
        <v>10</v>
      </c>
      <c r="P461" s="668" t="str">
        <f>IFERROR(VLOOKUP(F461, [2]MOE!B:C, 2, FALSE), "No")</f>
        <v>No</v>
      </c>
      <c r="Q461" s="711" t="s">
        <v>1004</v>
      </c>
      <c r="S461" s="670" t="s">
        <v>1334</v>
      </c>
      <c r="T461" s="668" t="s">
        <v>1068</v>
      </c>
    </row>
    <row r="462" spans="1:20">
      <c r="A462" s="679">
        <v>2251420</v>
      </c>
      <c r="B462" s="677"/>
      <c r="C462" s="672"/>
      <c r="D462" s="672"/>
      <c r="E462" s="676" t="s">
        <v>1163</v>
      </c>
      <c r="F462" s="680" t="s">
        <v>1362</v>
      </c>
      <c r="G462" s="710">
        <v>225</v>
      </c>
      <c r="H462" s="682">
        <v>1420</v>
      </c>
      <c r="J462" s="668" t="str">
        <f t="shared" si="70"/>
        <v>(3) Medicare</v>
      </c>
      <c r="L462" s="668">
        <v>91</v>
      </c>
      <c r="M462" s="669">
        <v>86</v>
      </c>
      <c r="N462" s="668"/>
      <c r="O462" s="668">
        <v>10</v>
      </c>
      <c r="P462" s="668" t="str">
        <f>IFERROR(VLOOKUP(F462, [2]MOE!B:C, 2, FALSE), "No")</f>
        <v>No</v>
      </c>
      <c r="Q462" s="711" t="s">
        <v>1004</v>
      </c>
      <c r="S462" s="670" t="s">
        <v>1334</v>
      </c>
      <c r="T462" s="668" t="s">
        <v>23</v>
      </c>
    </row>
    <row r="463" spans="1:20">
      <c r="A463" s="671"/>
      <c r="B463" s="677"/>
      <c r="C463" s="672"/>
      <c r="D463" s="672"/>
      <c r="E463" s="676" t="s">
        <v>1165</v>
      </c>
      <c r="F463" s="675"/>
      <c r="G463" s="672"/>
      <c r="H463" s="676"/>
      <c r="Q463" s="711"/>
      <c r="S463" s="670"/>
    </row>
    <row r="464" spans="1:20">
      <c r="A464" s="679">
        <v>2311420</v>
      </c>
      <c r="B464" s="677"/>
      <c r="C464" s="672"/>
      <c r="D464" s="672"/>
      <c r="E464" s="676" t="s">
        <v>1166</v>
      </c>
      <c r="F464" s="680" t="s">
        <v>1363</v>
      </c>
      <c r="G464" s="710">
        <v>231</v>
      </c>
      <c r="H464" s="682">
        <v>1420</v>
      </c>
      <c r="J464" s="668" t="str">
        <f t="shared" ref="J464:J472" si="71">E464</f>
        <v>(a) Louisiana Teachers Retirement</v>
      </c>
      <c r="L464" s="668">
        <v>92</v>
      </c>
      <c r="M464" s="669">
        <v>87</v>
      </c>
      <c r="N464" s="668"/>
      <c r="O464" s="668">
        <v>10</v>
      </c>
      <c r="P464" s="668" t="str">
        <f>IFERROR(VLOOKUP(F464, [2]MOE!B:C, 2, FALSE), "No")</f>
        <v>No</v>
      </c>
      <c r="Q464" s="711" t="s">
        <v>1004</v>
      </c>
      <c r="S464" s="670" t="s">
        <v>1334</v>
      </c>
      <c r="T464" s="668" t="s">
        <v>1074</v>
      </c>
    </row>
    <row r="465" spans="1:20">
      <c r="A465" s="679">
        <v>2331420</v>
      </c>
      <c r="B465" s="677"/>
      <c r="C465" s="672"/>
      <c r="D465" s="672"/>
      <c r="E465" s="676" t="s">
        <v>1168</v>
      </c>
      <c r="F465" s="680" t="s">
        <v>1364</v>
      </c>
      <c r="G465" s="710">
        <v>233</v>
      </c>
      <c r="H465" s="682">
        <v>1420</v>
      </c>
      <c r="J465" s="668" t="str">
        <f t="shared" si="71"/>
        <v>(b) Louisiana School Emp. Retirement</v>
      </c>
      <c r="L465" s="668">
        <v>92</v>
      </c>
      <c r="M465" s="669">
        <v>87</v>
      </c>
      <c r="N465" s="668"/>
      <c r="O465" s="668">
        <v>10</v>
      </c>
      <c r="P465" s="668" t="str">
        <f>IFERROR(VLOOKUP(F465, [2]MOE!B:C, 2, FALSE), "No")</f>
        <v>No</v>
      </c>
      <c r="Q465" s="711" t="s">
        <v>1004</v>
      </c>
      <c r="S465" s="670" t="s">
        <v>1334</v>
      </c>
      <c r="T465" s="668" t="s">
        <v>1170</v>
      </c>
    </row>
    <row r="466" spans="1:20">
      <c r="A466" s="679">
        <v>2391420</v>
      </c>
      <c r="B466" s="677"/>
      <c r="C466" s="672"/>
      <c r="D466" s="672"/>
      <c r="E466" s="676" t="s">
        <v>1171</v>
      </c>
      <c r="F466" s="680" t="s">
        <v>1365</v>
      </c>
      <c r="G466" s="710">
        <v>239</v>
      </c>
      <c r="H466" s="682">
        <v>1420</v>
      </c>
      <c r="J466" s="668" t="str">
        <f t="shared" si="71"/>
        <v>(c) Other Retirement</v>
      </c>
      <c r="L466" s="668">
        <v>92</v>
      </c>
      <c r="M466" s="669">
        <v>87</v>
      </c>
      <c r="N466" s="668"/>
      <c r="O466" s="668">
        <v>10</v>
      </c>
      <c r="P466" s="668" t="str">
        <f>IFERROR(VLOOKUP(F466, [2]MOE!B:C, 2, FALSE), "No")</f>
        <v>No</v>
      </c>
      <c r="Q466" s="711" t="s">
        <v>1004</v>
      </c>
      <c r="S466" s="670" t="s">
        <v>1334</v>
      </c>
      <c r="T466" s="668" t="s">
        <v>1080</v>
      </c>
    </row>
    <row r="467" spans="1:20">
      <c r="A467" s="679">
        <v>2501420</v>
      </c>
      <c r="B467" s="677"/>
      <c r="C467" s="672"/>
      <c r="D467" s="672"/>
      <c r="E467" s="676" t="s">
        <v>1173</v>
      </c>
      <c r="F467" s="680" t="s">
        <v>1366</v>
      </c>
      <c r="G467" s="710">
        <v>250</v>
      </c>
      <c r="H467" s="682">
        <v>1420</v>
      </c>
      <c r="J467" s="668" t="str">
        <f t="shared" si="71"/>
        <v>(5) Unemployment Compensation</v>
      </c>
      <c r="L467" s="668">
        <v>93</v>
      </c>
      <c r="M467" s="669">
        <v>88</v>
      </c>
      <c r="N467" s="668"/>
      <c r="O467" s="668">
        <v>10</v>
      </c>
      <c r="P467" s="668" t="str">
        <f>IFERROR(VLOOKUP(F467, [2]MOE!B:C, 2, FALSE), "No")</f>
        <v>No</v>
      </c>
      <c r="Q467" s="711" t="s">
        <v>1004</v>
      </c>
      <c r="S467" s="670" t="s">
        <v>1334</v>
      </c>
      <c r="T467" s="668" t="s">
        <v>1081</v>
      </c>
    </row>
    <row r="468" spans="1:20">
      <c r="A468" s="679">
        <v>2601420</v>
      </c>
      <c r="B468" s="677"/>
      <c r="C468" s="672"/>
      <c r="D468" s="672"/>
      <c r="E468" s="676" t="s">
        <v>1175</v>
      </c>
      <c r="F468" s="680" t="s">
        <v>1367</v>
      </c>
      <c r="G468" s="710">
        <v>260</v>
      </c>
      <c r="H468" s="682">
        <v>1420</v>
      </c>
      <c r="J468" s="668" t="str">
        <f t="shared" si="71"/>
        <v>(6) Workmen's Compensation</v>
      </c>
      <c r="L468" s="668">
        <v>95</v>
      </c>
      <c r="M468" s="669">
        <v>90</v>
      </c>
      <c r="N468" s="668"/>
      <c r="O468" s="668">
        <v>10</v>
      </c>
      <c r="P468" s="668" t="str">
        <f>IFERROR(VLOOKUP(F468, [2]MOE!B:C, 2, FALSE), "No")</f>
        <v>No</v>
      </c>
      <c r="Q468" s="711" t="s">
        <v>1004</v>
      </c>
      <c r="S468" s="670" t="s">
        <v>1334</v>
      </c>
      <c r="T468" s="668" t="s">
        <v>1083</v>
      </c>
    </row>
    <row r="469" spans="1:20">
      <c r="A469" s="679">
        <v>2701420</v>
      </c>
      <c r="B469" s="677"/>
      <c r="C469" s="672"/>
      <c r="D469" s="672"/>
      <c r="E469" s="676" t="s">
        <v>1177</v>
      </c>
      <c r="F469" s="680" t="s">
        <v>1368</v>
      </c>
      <c r="G469" s="710">
        <v>270</v>
      </c>
      <c r="H469" s="682">
        <v>1420</v>
      </c>
      <c r="J469" s="668" t="str">
        <f t="shared" si="71"/>
        <v>(7) Health Benefits (retirees)</v>
      </c>
      <c r="L469" s="668">
        <v>94</v>
      </c>
      <c r="M469" s="669">
        <v>89</v>
      </c>
      <c r="N469" s="668"/>
      <c r="O469" s="668">
        <v>10</v>
      </c>
      <c r="P469" s="668" t="str">
        <f>IFERROR(VLOOKUP(F469, [2]MOE!B:C, 2, FALSE), "No")</f>
        <v>No</v>
      </c>
      <c r="Q469" s="711" t="s">
        <v>1004</v>
      </c>
      <c r="S469" s="670" t="s">
        <v>1334</v>
      </c>
      <c r="T469" s="668" t="s">
        <v>1085</v>
      </c>
    </row>
    <row r="470" spans="1:20">
      <c r="A470" s="679">
        <v>2811420</v>
      </c>
      <c r="B470" s="677"/>
      <c r="C470" s="672"/>
      <c r="D470" s="672"/>
      <c r="E470" s="676" t="s">
        <v>1179</v>
      </c>
      <c r="F470" s="680" t="s">
        <v>1369</v>
      </c>
      <c r="G470" s="710">
        <v>281</v>
      </c>
      <c r="H470" s="682">
        <v>1420</v>
      </c>
      <c r="J470" s="668" t="str">
        <f t="shared" si="71"/>
        <v>(8) Sick Leave Severance Pay</v>
      </c>
      <c r="L470" s="668">
        <v>95</v>
      </c>
      <c r="M470" s="669">
        <v>90</v>
      </c>
      <c r="N470" s="668"/>
      <c r="O470" s="668">
        <v>10</v>
      </c>
      <c r="P470" s="668" t="str">
        <f>IFERROR(VLOOKUP(F470, [2]MOE!B:C, 2, FALSE), "No")</f>
        <v>No</v>
      </c>
      <c r="Q470" s="711" t="s">
        <v>1004</v>
      </c>
      <c r="S470" s="670" t="s">
        <v>1334</v>
      </c>
      <c r="T470" s="668" t="s">
        <v>1087</v>
      </c>
    </row>
    <row r="471" spans="1:20">
      <c r="A471" s="679">
        <v>2821420</v>
      </c>
      <c r="B471" s="677"/>
      <c r="C471" s="672"/>
      <c r="D471" s="672"/>
      <c r="E471" s="676" t="s">
        <v>1181</v>
      </c>
      <c r="F471" s="680" t="s">
        <v>1370</v>
      </c>
      <c r="G471" s="710">
        <v>282</v>
      </c>
      <c r="H471" s="682">
        <v>1420</v>
      </c>
      <c r="J471" s="668" t="str">
        <f t="shared" si="71"/>
        <v>(9) Annual Leave Severance Pay</v>
      </c>
      <c r="L471" s="668">
        <v>95</v>
      </c>
      <c r="M471" s="669">
        <v>90</v>
      </c>
      <c r="N471" s="668"/>
      <c r="O471" s="668">
        <v>10</v>
      </c>
      <c r="P471" s="668" t="str">
        <f>IFERROR(VLOOKUP(F471, [2]MOE!B:C, 2, FALSE), "No")</f>
        <v>No</v>
      </c>
      <c r="Q471" s="711" t="s">
        <v>1004</v>
      </c>
      <c r="S471" s="670" t="s">
        <v>1334</v>
      </c>
      <c r="T471" s="668" t="s">
        <v>1089</v>
      </c>
    </row>
    <row r="472" spans="1:20">
      <c r="A472" s="679">
        <v>2901420</v>
      </c>
      <c r="B472" s="677"/>
      <c r="C472" s="672"/>
      <c r="D472" s="672"/>
      <c r="E472" s="676" t="s">
        <v>1183</v>
      </c>
      <c r="F472" s="680" t="s">
        <v>1371</v>
      </c>
      <c r="G472" s="710">
        <v>290</v>
      </c>
      <c r="H472" s="682">
        <v>1420</v>
      </c>
      <c r="J472" s="668" t="str">
        <f t="shared" si="71"/>
        <v>(10) Other Employee Benefits</v>
      </c>
      <c r="L472" s="668">
        <v>95</v>
      </c>
      <c r="M472" s="669">
        <v>90</v>
      </c>
      <c r="N472" s="668"/>
      <c r="O472" s="668">
        <v>10</v>
      </c>
      <c r="P472" s="668" t="str">
        <f>IFERROR(VLOOKUP(F472, [2]MOE!B:C, 2, FALSE), "No")</f>
        <v>No</v>
      </c>
      <c r="Q472" s="711" t="s">
        <v>1004</v>
      </c>
      <c r="S472" s="670" t="s">
        <v>1334</v>
      </c>
      <c r="T472" s="668" t="s">
        <v>1092</v>
      </c>
    </row>
    <row r="473" spans="1:20">
      <c r="A473" s="671"/>
      <c r="B473" s="677"/>
      <c r="C473" s="678">
        <v>21</v>
      </c>
      <c r="D473" s="925" t="s">
        <v>1372</v>
      </c>
      <c r="E473" s="926"/>
      <c r="F473" s="675"/>
      <c r="G473" s="672"/>
      <c r="H473" s="676"/>
      <c r="Q473" s="711"/>
      <c r="S473" s="670"/>
    </row>
    <row r="474" spans="1:20">
      <c r="A474" s="671"/>
      <c r="B474" s="677"/>
      <c r="C474" s="672"/>
      <c r="D474" s="672" t="s">
        <v>759</v>
      </c>
      <c r="E474" s="676" t="s">
        <v>244</v>
      </c>
      <c r="F474" s="675"/>
      <c r="G474" s="672"/>
      <c r="H474" s="676"/>
      <c r="Q474" s="711"/>
      <c r="S474" s="670"/>
    </row>
    <row r="475" spans="1:20">
      <c r="A475" s="679">
        <v>1121440</v>
      </c>
      <c r="B475" s="677"/>
      <c r="C475" s="672"/>
      <c r="D475" s="672"/>
      <c r="E475" s="676" t="s">
        <v>1098</v>
      </c>
      <c r="F475" s="680" t="s">
        <v>1373</v>
      </c>
      <c r="G475" s="710">
        <v>112</v>
      </c>
      <c r="H475" s="682">
        <v>1440</v>
      </c>
      <c r="J475" s="668" t="str">
        <f t="shared" ref="J475:J481" si="72">E475</f>
        <v>(1) Teachers</v>
      </c>
      <c r="L475" s="668">
        <v>82</v>
      </c>
      <c r="M475" s="669">
        <v>77</v>
      </c>
      <c r="N475" s="668"/>
      <c r="O475" s="668">
        <v>10</v>
      </c>
      <c r="P475" s="668" t="str">
        <f>IFERROR(VLOOKUP(F475, [2]MOE!B:C, 2, FALSE), "No")</f>
        <v>No</v>
      </c>
      <c r="Q475" s="711" t="s">
        <v>1004</v>
      </c>
      <c r="S475" s="670" t="s">
        <v>1374</v>
      </c>
      <c r="T475" s="668" t="s">
        <v>5</v>
      </c>
    </row>
    <row r="476" spans="1:20">
      <c r="A476" s="679">
        <v>1151440</v>
      </c>
      <c r="B476" s="677"/>
      <c r="C476" s="672"/>
      <c r="D476" s="672"/>
      <c r="E476" s="676" t="s">
        <v>1100</v>
      </c>
      <c r="F476" s="680" t="s">
        <v>1375</v>
      </c>
      <c r="G476" s="710">
        <v>115</v>
      </c>
      <c r="H476" s="682">
        <v>1440</v>
      </c>
      <c r="J476" s="668" t="str">
        <f t="shared" si="72"/>
        <v>(2) Para-professionals (Aides)</v>
      </c>
      <c r="L476" s="668">
        <v>86</v>
      </c>
      <c r="M476" s="669">
        <v>81</v>
      </c>
      <c r="N476" s="668"/>
      <c r="O476" s="668">
        <v>10</v>
      </c>
      <c r="P476" s="668" t="str">
        <f>IFERROR(VLOOKUP(F476, [2]MOE!B:C, 2, FALSE), "No")</f>
        <v>No</v>
      </c>
      <c r="Q476" s="711" t="s">
        <v>1004</v>
      </c>
      <c r="S476" s="670" t="s">
        <v>1374</v>
      </c>
      <c r="T476" s="668" t="s">
        <v>1102</v>
      </c>
    </row>
    <row r="477" spans="1:20">
      <c r="A477" s="679">
        <v>1231440</v>
      </c>
      <c r="B477" s="677"/>
      <c r="C477" s="672"/>
      <c r="D477" s="672"/>
      <c r="E477" s="676" t="s">
        <v>1103</v>
      </c>
      <c r="F477" s="680" t="s">
        <v>1376</v>
      </c>
      <c r="G477" s="710">
        <v>123</v>
      </c>
      <c r="H477" s="682">
        <v>1440</v>
      </c>
      <c r="J477" s="668" t="str">
        <f t="shared" si="72"/>
        <v>(3) Substitute Teachers</v>
      </c>
      <c r="L477" s="668">
        <v>86</v>
      </c>
      <c r="M477" s="669">
        <v>81</v>
      </c>
      <c r="N477" s="668"/>
      <c r="O477" s="668">
        <v>10</v>
      </c>
      <c r="P477" s="668" t="str">
        <f>IFERROR(VLOOKUP(F477, [2]MOE!B:C, 2, FALSE), "No")</f>
        <v>No</v>
      </c>
      <c r="Q477" s="711" t="s">
        <v>1004</v>
      </c>
      <c r="S477" s="670" t="s">
        <v>1374</v>
      </c>
      <c r="T477" s="668" t="s">
        <v>1105</v>
      </c>
    </row>
    <row r="478" spans="1:20">
      <c r="A478" s="679">
        <v>1201440</v>
      </c>
      <c r="B478" s="677"/>
      <c r="C478" s="672"/>
      <c r="D478" s="672"/>
      <c r="E478" s="676" t="s">
        <v>1106</v>
      </c>
      <c r="F478" s="680" t="s">
        <v>1377</v>
      </c>
      <c r="G478" s="710">
        <v>120</v>
      </c>
      <c r="H478" s="682">
        <v>1440</v>
      </c>
      <c r="J478" s="668" t="str">
        <f t="shared" si="72"/>
        <v>(4) Other Substitute/Temp. Employees</v>
      </c>
      <c r="L478" s="668">
        <v>86</v>
      </c>
      <c r="M478" s="669">
        <v>81</v>
      </c>
      <c r="N478" s="668"/>
      <c r="O478" s="668">
        <v>10</v>
      </c>
      <c r="P478" s="668" t="str">
        <f>IFERROR(VLOOKUP(F478, [2]MOE!B:C, 2, FALSE), "No")</f>
        <v>No</v>
      </c>
      <c r="Q478" s="711" t="s">
        <v>1004</v>
      </c>
      <c r="S478" s="670" t="s">
        <v>1374</v>
      </c>
      <c r="T478" s="668" t="s">
        <v>1108</v>
      </c>
    </row>
    <row r="479" spans="1:20">
      <c r="A479" s="679">
        <v>1001440</v>
      </c>
      <c r="B479" s="677"/>
      <c r="C479" s="672"/>
      <c r="D479" s="672"/>
      <c r="E479" s="676" t="s">
        <v>1109</v>
      </c>
      <c r="F479" s="680" t="s">
        <v>1378</v>
      </c>
      <c r="G479" s="710">
        <v>100</v>
      </c>
      <c r="H479" s="682">
        <v>1440</v>
      </c>
      <c r="J479" s="668" t="str">
        <f t="shared" si="72"/>
        <v>(5) Other Instructional Salaries</v>
      </c>
      <c r="L479" s="668">
        <v>86</v>
      </c>
      <c r="M479" s="669">
        <v>81</v>
      </c>
      <c r="N479" s="668"/>
      <c r="O479" s="668">
        <v>10</v>
      </c>
      <c r="P479" s="668" t="str">
        <f>IFERROR(VLOOKUP(F479, [2]MOE!B:C, 2, FALSE), "No")</f>
        <v>No</v>
      </c>
      <c r="Q479" s="711" t="s">
        <v>1004</v>
      </c>
      <c r="S479" s="670" t="s">
        <v>1374</v>
      </c>
      <c r="T479" s="668" t="s">
        <v>1017</v>
      </c>
    </row>
    <row r="480" spans="1:20">
      <c r="A480" s="679">
        <v>1401440</v>
      </c>
      <c r="B480" s="719"/>
      <c r="C480" s="681"/>
      <c r="D480" s="681"/>
      <c r="E480" s="686" t="s">
        <v>1111</v>
      </c>
      <c r="F480" s="680" t="s">
        <v>1379</v>
      </c>
      <c r="G480" s="710">
        <v>140</v>
      </c>
      <c r="H480" s="682">
        <v>1440</v>
      </c>
      <c r="J480" s="668" t="str">
        <f t="shared" si="72"/>
        <v>(6) Sabbatical Leave</v>
      </c>
      <c r="L480" s="668">
        <v>86</v>
      </c>
      <c r="M480" s="669">
        <v>81</v>
      </c>
      <c r="N480" s="668"/>
      <c r="O480" s="668">
        <v>10</v>
      </c>
      <c r="P480" s="668" t="str">
        <f>IFERROR(VLOOKUP(F480, [2]MOE!B:C, 2, FALSE), "No")</f>
        <v>No</v>
      </c>
      <c r="Q480" s="711" t="s">
        <v>1004</v>
      </c>
      <c r="S480" s="670" t="s">
        <v>1374</v>
      </c>
      <c r="T480" s="668" t="s">
        <v>1019</v>
      </c>
    </row>
    <row r="481" spans="1:20">
      <c r="A481" s="679">
        <v>3001440</v>
      </c>
      <c r="B481" s="677"/>
      <c r="C481" s="672"/>
      <c r="D481" s="672" t="s">
        <v>777</v>
      </c>
      <c r="E481" s="676" t="s">
        <v>1113</v>
      </c>
      <c r="F481" s="680" t="s">
        <v>1380</v>
      </c>
      <c r="G481" s="710">
        <v>300</v>
      </c>
      <c r="H481" s="682">
        <v>1440</v>
      </c>
      <c r="J481" s="668" t="str">
        <f t="shared" si="72"/>
        <v>Purchased Professional and Technical Svcs</v>
      </c>
      <c r="L481" s="668">
        <v>101</v>
      </c>
      <c r="M481" s="669">
        <v>96</v>
      </c>
      <c r="N481" s="668"/>
      <c r="O481" s="668">
        <v>10</v>
      </c>
      <c r="P481" s="668" t="str">
        <f>IFERROR(VLOOKUP(F481, [2]MOE!B:C, 2, FALSE), "No")</f>
        <v>No</v>
      </c>
      <c r="Q481" s="711"/>
      <c r="S481" s="670" t="s">
        <v>1374</v>
      </c>
      <c r="T481" s="668" t="s">
        <v>1113</v>
      </c>
    </row>
    <row r="482" spans="1:20">
      <c r="A482" s="671"/>
      <c r="B482" s="677"/>
      <c r="C482" s="672"/>
      <c r="D482" s="672" t="s">
        <v>801</v>
      </c>
      <c r="E482" s="676" t="s">
        <v>250</v>
      </c>
      <c r="F482" s="675"/>
      <c r="G482" s="672"/>
      <c r="H482" s="676"/>
      <c r="Q482" s="711"/>
      <c r="S482" s="670"/>
    </row>
    <row r="483" spans="1:20">
      <c r="A483" s="679">
        <v>4301440</v>
      </c>
      <c r="B483" s="677"/>
      <c r="C483" s="672"/>
      <c r="D483" s="672"/>
      <c r="E483" s="676" t="s">
        <v>1115</v>
      </c>
      <c r="F483" s="680" t="s">
        <v>1381</v>
      </c>
      <c r="G483" s="710">
        <v>430</v>
      </c>
      <c r="H483" s="682">
        <v>1440</v>
      </c>
      <c r="J483" s="668" t="str">
        <f t="shared" ref="J483:J485" si="73">E483</f>
        <v>(1) Repairs and Maintenance Services</v>
      </c>
      <c r="L483" s="668">
        <v>107</v>
      </c>
      <c r="M483" s="669">
        <v>102</v>
      </c>
      <c r="N483" s="668"/>
      <c r="O483" s="668">
        <v>10</v>
      </c>
      <c r="P483" s="668" t="str">
        <f>IFERROR(VLOOKUP(F483, [2]MOE!B:C, 2, FALSE), "No")</f>
        <v>No</v>
      </c>
      <c r="Q483" s="711"/>
      <c r="S483" s="670" t="s">
        <v>1374</v>
      </c>
      <c r="T483" s="668" t="s">
        <v>1023</v>
      </c>
    </row>
    <row r="484" spans="1:20">
      <c r="A484" s="679">
        <v>4421440</v>
      </c>
      <c r="B484" s="677"/>
      <c r="C484" s="672"/>
      <c r="D484" s="672"/>
      <c r="E484" s="676" t="s">
        <v>1382</v>
      </c>
      <c r="F484" s="680" t="s">
        <v>1383</v>
      </c>
      <c r="G484" s="710">
        <v>442</v>
      </c>
      <c r="H484" s="682">
        <v>1440</v>
      </c>
      <c r="J484" s="668" t="str">
        <f t="shared" si="73"/>
        <v>(2) Rental of Equipment and Vehicles</v>
      </c>
      <c r="L484" s="668">
        <v>106</v>
      </c>
      <c r="M484" s="669">
        <v>101</v>
      </c>
      <c r="N484" s="668"/>
      <c r="O484" s="668">
        <v>10</v>
      </c>
      <c r="P484" s="668" t="str">
        <f>IFERROR(VLOOKUP(F484, [2]MOE!B:C, 2, FALSE), "No")</f>
        <v>No</v>
      </c>
      <c r="Q484" s="711"/>
      <c r="S484" s="670" t="s">
        <v>1374</v>
      </c>
      <c r="T484" s="668" t="s">
        <v>1384</v>
      </c>
    </row>
    <row r="485" spans="1:20">
      <c r="A485" s="679">
        <v>4001440</v>
      </c>
      <c r="B485" s="677"/>
      <c r="C485" s="672"/>
      <c r="D485" s="672"/>
      <c r="E485" s="676" t="s">
        <v>1119</v>
      </c>
      <c r="F485" s="680" t="s">
        <v>1385</v>
      </c>
      <c r="G485" s="710">
        <v>400</v>
      </c>
      <c r="H485" s="682">
        <v>1440</v>
      </c>
      <c r="J485" s="668" t="str">
        <f t="shared" si="73"/>
        <v>(3) Other Purchased Property Services</v>
      </c>
      <c r="L485" s="668">
        <v>108</v>
      </c>
      <c r="M485" s="669">
        <v>103</v>
      </c>
      <c r="N485" s="668"/>
      <c r="O485" s="668">
        <v>10</v>
      </c>
      <c r="P485" s="668" t="str">
        <f>IFERROR(VLOOKUP(F485, [2]MOE!B:C, 2, FALSE), "No")</f>
        <v>No</v>
      </c>
      <c r="Q485" s="711"/>
      <c r="S485" s="670" t="s">
        <v>1374</v>
      </c>
      <c r="T485" s="668" t="s">
        <v>1027</v>
      </c>
    </row>
    <row r="486" spans="1:20">
      <c r="A486" s="671"/>
      <c r="B486" s="677"/>
      <c r="C486" s="672"/>
      <c r="D486" s="672" t="s">
        <v>805</v>
      </c>
      <c r="E486" s="676" t="s">
        <v>252</v>
      </c>
      <c r="F486" s="675"/>
      <c r="G486" s="672"/>
      <c r="H486" s="676"/>
      <c r="Q486" s="711"/>
      <c r="S486" s="670"/>
    </row>
    <row r="487" spans="1:20">
      <c r="A487" s="679">
        <v>5231440</v>
      </c>
      <c r="B487" s="677"/>
      <c r="C487" s="672"/>
      <c r="D487" s="672"/>
      <c r="E487" s="676" t="s">
        <v>1386</v>
      </c>
      <c r="F487" s="680" t="s">
        <v>1387</v>
      </c>
      <c r="G487" s="710">
        <v>523</v>
      </c>
      <c r="H487" s="682">
        <v>1440</v>
      </c>
      <c r="J487" s="668" t="str">
        <f>E487</f>
        <v>(1) Fleet Insurance</v>
      </c>
      <c r="L487" s="668">
        <v>114</v>
      </c>
      <c r="M487" s="669">
        <v>107</v>
      </c>
      <c r="N487" s="668"/>
      <c r="O487" s="668">
        <v>10</v>
      </c>
      <c r="P487" s="668" t="str">
        <f>IFERROR(VLOOKUP(F487, [2]MOE!B:C, 2, FALSE), "No")</f>
        <v>No</v>
      </c>
      <c r="Q487" s="711"/>
      <c r="S487" s="670" t="s">
        <v>1374</v>
      </c>
      <c r="T487" s="668" t="s">
        <v>1388</v>
      </c>
    </row>
    <row r="488" spans="1:20">
      <c r="A488" s="671"/>
      <c r="B488" s="677"/>
      <c r="C488" s="672"/>
      <c r="D488" s="672"/>
      <c r="E488" s="676" t="s">
        <v>1389</v>
      </c>
      <c r="F488" s="675"/>
      <c r="G488" s="672"/>
      <c r="H488" s="676"/>
      <c r="Q488" s="711"/>
      <c r="S488" s="670"/>
    </row>
    <row r="489" spans="1:20">
      <c r="A489" s="679">
        <v>5611440</v>
      </c>
      <c r="B489" s="677"/>
      <c r="C489" s="672"/>
      <c r="D489" s="672"/>
      <c r="E489" s="676" t="s">
        <v>1122</v>
      </c>
      <c r="F489" s="680" t="s">
        <v>1390</v>
      </c>
      <c r="G489" s="710">
        <v>561</v>
      </c>
      <c r="H489" s="682">
        <v>1440</v>
      </c>
      <c r="J489" s="668" t="str">
        <f t="shared" ref="J489:J493" si="74">E489</f>
        <v>(a) Paid to Other LEA (In-State)</v>
      </c>
      <c r="L489" s="668">
        <v>119</v>
      </c>
      <c r="M489" s="669">
        <v>110</v>
      </c>
      <c r="N489" s="668"/>
      <c r="O489" s="668">
        <v>10</v>
      </c>
      <c r="P489" s="668" t="str">
        <f>IFERROR(VLOOKUP(F489, [2]MOE!B:C, 2, FALSE), "No")</f>
        <v>No</v>
      </c>
      <c r="Q489" s="711"/>
      <c r="S489" s="670" t="s">
        <v>1374</v>
      </c>
      <c r="T489" s="668" t="s">
        <v>1032</v>
      </c>
    </row>
    <row r="490" spans="1:20">
      <c r="A490" s="679">
        <v>5621440</v>
      </c>
      <c r="B490" s="677"/>
      <c r="C490" s="672"/>
      <c r="D490" s="672"/>
      <c r="E490" s="676" t="s">
        <v>1124</v>
      </c>
      <c r="F490" s="680" t="s">
        <v>1391</v>
      </c>
      <c r="G490" s="710">
        <v>562</v>
      </c>
      <c r="H490" s="682">
        <v>1440</v>
      </c>
      <c r="J490" s="668" t="str">
        <f t="shared" si="74"/>
        <v>(b) Paid to Other LEA (Out-of-State)</v>
      </c>
      <c r="L490" s="668">
        <v>119</v>
      </c>
      <c r="M490" s="669">
        <v>110</v>
      </c>
      <c r="N490" s="668"/>
      <c r="O490" s="668">
        <v>10</v>
      </c>
      <c r="P490" s="668" t="str">
        <f>IFERROR(VLOOKUP(F490, [2]MOE!B:C, 2, FALSE), "No")</f>
        <v>No</v>
      </c>
      <c r="Q490" s="711"/>
      <c r="S490" s="670" t="s">
        <v>1374</v>
      </c>
      <c r="T490" s="668" t="s">
        <v>1035</v>
      </c>
    </row>
    <row r="491" spans="1:20">
      <c r="A491" s="679">
        <v>5631440</v>
      </c>
      <c r="B491" s="677"/>
      <c r="C491" s="672"/>
      <c r="D491" s="672"/>
      <c r="E491" s="676" t="s">
        <v>1305</v>
      </c>
      <c r="F491" s="680" t="s">
        <v>1392</v>
      </c>
      <c r="G491" s="710">
        <v>563</v>
      </c>
      <c r="H491" s="682">
        <v>1440</v>
      </c>
      <c r="J491" s="668" t="str">
        <f t="shared" si="74"/>
        <v>(c) Paid to Private Sources</v>
      </c>
      <c r="L491" s="668">
        <v>119</v>
      </c>
      <c r="M491" s="669">
        <v>110</v>
      </c>
      <c r="N491" s="668"/>
      <c r="O491" s="668">
        <v>10</v>
      </c>
      <c r="P491" s="668" t="str">
        <f>IFERROR(VLOOKUP(F491, [2]MOE!B:C, 2, FALSE), "No")</f>
        <v>No</v>
      </c>
      <c r="Q491" s="711"/>
      <c r="S491" s="670" t="s">
        <v>1374</v>
      </c>
      <c r="T491" s="668" t="s">
        <v>1038</v>
      </c>
    </row>
    <row r="492" spans="1:20">
      <c r="A492" s="679">
        <v>5821440</v>
      </c>
      <c r="B492" s="677"/>
      <c r="C492" s="672"/>
      <c r="D492" s="672"/>
      <c r="E492" s="676" t="s">
        <v>1393</v>
      </c>
      <c r="F492" s="680" t="s">
        <v>1394</v>
      </c>
      <c r="G492" s="710">
        <v>582</v>
      </c>
      <c r="H492" s="682">
        <v>1440</v>
      </c>
      <c r="J492" s="668" t="str">
        <f t="shared" si="74"/>
        <v>(3) Travel Expense Reimbursement</v>
      </c>
      <c r="L492" s="668">
        <v>118</v>
      </c>
      <c r="M492" s="669">
        <v>109</v>
      </c>
      <c r="N492" s="668"/>
      <c r="O492" s="668">
        <v>10</v>
      </c>
      <c r="P492" s="668" t="str">
        <f>IFERROR(VLOOKUP(F492, [2]MOE!B:C, 2, FALSE), "No")</f>
        <v>No</v>
      </c>
      <c r="Q492" s="711"/>
      <c r="S492" s="670" t="s">
        <v>1374</v>
      </c>
      <c r="T492" s="668" t="s">
        <v>1039</v>
      </c>
    </row>
    <row r="493" spans="1:20">
      <c r="A493" s="679">
        <v>5001440</v>
      </c>
      <c r="B493" s="677"/>
      <c r="C493" s="672"/>
      <c r="D493" s="672"/>
      <c r="E493" s="676" t="s">
        <v>1395</v>
      </c>
      <c r="F493" s="680" t="s">
        <v>1396</v>
      </c>
      <c r="G493" s="710">
        <v>500</v>
      </c>
      <c r="H493" s="682">
        <v>1440</v>
      </c>
      <c r="J493" s="668" t="str">
        <f t="shared" si="74"/>
        <v>(4) Other Purchased Services</v>
      </c>
      <c r="L493" s="668">
        <v>119</v>
      </c>
      <c r="M493" s="669">
        <v>110</v>
      </c>
      <c r="N493" s="668"/>
      <c r="O493" s="668">
        <v>10</v>
      </c>
      <c r="P493" s="668" t="str">
        <f>IFERROR(VLOOKUP(F493, [2]MOE!B:C, 2, FALSE), "No")</f>
        <v>No</v>
      </c>
      <c r="Q493" s="711"/>
      <c r="S493" s="670" t="s">
        <v>1374</v>
      </c>
      <c r="T493" s="668" t="s">
        <v>252</v>
      </c>
    </row>
    <row r="494" spans="1:20">
      <c r="A494" s="671"/>
      <c r="B494" s="677"/>
      <c r="C494" s="672"/>
      <c r="D494" s="672" t="s">
        <v>850</v>
      </c>
      <c r="E494" s="676" t="s">
        <v>1042</v>
      </c>
      <c r="F494" s="675"/>
      <c r="G494" s="672"/>
      <c r="H494" s="676"/>
      <c r="Q494" s="711"/>
      <c r="S494" s="670"/>
    </row>
    <row r="495" spans="1:20">
      <c r="A495" s="679">
        <v>6151440</v>
      </c>
      <c r="B495" s="677"/>
      <c r="C495" s="672"/>
      <c r="D495" s="672"/>
      <c r="E495" s="676" t="s">
        <v>1139</v>
      </c>
      <c r="F495" s="680" t="s">
        <v>1397</v>
      </c>
      <c r="G495" s="710">
        <v>615</v>
      </c>
      <c r="H495" s="682">
        <v>1440</v>
      </c>
      <c r="J495" s="668" t="str">
        <f t="shared" ref="J495:J499" si="75">E495</f>
        <v>(1) Technology-Related Supplies</v>
      </c>
      <c r="L495" s="668">
        <v>126</v>
      </c>
      <c r="M495" s="669">
        <v>117</v>
      </c>
      <c r="N495" s="668"/>
      <c r="O495" s="668">
        <v>10</v>
      </c>
      <c r="P495" s="668" t="str">
        <f>IFERROR(VLOOKUP(F495, [2]MOE!B:C, 2, FALSE), "No")</f>
        <v>No</v>
      </c>
      <c r="Q495" s="711" t="s">
        <v>1045</v>
      </c>
      <c r="S495" s="670" t="s">
        <v>1374</v>
      </c>
      <c r="T495" s="668" t="s">
        <v>1043</v>
      </c>
    </row>
    <row r="496" spans="1:20">
      <c r="A496" s="679">
        <v>6101440</v>
      </c>
      <c r="B496" s="677"/>
      <c r="C496" s="672"/>
      <c r="D496" s="672"/>
      <c r="E496" s="676" t="s">
        <v>1141</v>
      </c>
      <c r="F496" s="680" t="s">
        <v>1398</v>
      </c>
      <c r="G496" s="710">
        <v>610</v>
      </c>
      <c r="H496" s="682">
        <v>1440</v>
      </c>
      <c r="J496" s="668" t="str">
        <f t="shared" si="75"/>
        <v>(2) Materials and Supplies</v>
      </c>
      <c r="L496" s="668">
        <v>122</v>
      </c>
      <c r="M496" s="669">
        <v>113</v>
      </c>
      <c r="N496" s="668"/>
      <c r="O496" s="668">
        <v>10</v>
      </c>
      <c r="P496" s="668" t="str">
        <f>IFERROR(VLOOKUP(F496, [2]MOE!B:C, 2, FALSE), "No")</f>
        <v>No</v>
      </c>
      <c r="Q496" s="711" t="s">
        <v>1045</v>
      </c>
      <c r="S496" s="670" t="s">
        <v>1374</v>
      </c>
      <c r="T496" s="668" t="s">
        <v>39</v>
      </c>
    </row>
    <row r="497" spans="1:20">
      <c r="A497" s="679">
        <v>6261440</v>
      </c>
      <c r="B497" s="677"/>
      <c r="C497" s="672"/>
      <c r="D497" s="672"/>
      <c r="E497" s="676" t="s">
        <v>1399</v>
      </c>
      <c r="F497" s="680" t="s">
        <v>1400</v>
      </c>
      <c r="G497" s="710">
        <v>626</v>
      </c>
      <c r="H497" s="682">
        <v>1440</v>
      </c>
      <c r="J497" s="668" t="str">
        <f t="shared" si="75"/>
        <v>(3) Fuel</v>
      </c>
      <c r="L497" s="668">
        <v>123</v>
      </c>
      <c r="M497" s="669">
        <v>114</v>
      </c>
      <c r="N497" s="668"/>
      <c r="O497" s="668">
        <v>10</v>
      </c>
      <c r="P497" s="668" t="str">
        <f>IFERROR(VLOOKUP(F497, [2]MOE!B:C, 2, FALSE), "No")</f>
        <v>No</v>
      </c>
      <c r="Q497" s="711" t="s">
        <v>1045</v>
      </c>
      <c r="S497" s="670" t="s">
        <v>1374</v>
      </c>
      <c r="T497" s="668" t="s">
        <v>1401</v>
      </c>
    </row>
    <row r="498" spans="1:20">
      <c r="A498" s="679">
        <v>6421440</v>
      </c>
      <c r="B498" s="677"/>
      <c r="C498" s="672"/>
      <c r="D498" s="672"/>
      <c r="E498" s="676" t="s">
        <v>1402</v>
      </c>
      <c r="F498" s="680" t="s">
        <v>1403</v>
      </c>
      <c r="G498" s="710">
        <v>642</v>
      </c>
      <c r="H498" s="682">
        <v>1440</v>
      </c>
      <c r="J498" s="668" t="str">
        <f t="shared" si="75"/>
        <v>(4) Textbooks/Workbooks</v>
      </c>
      <c r="L498" s="668">
        <v>125</v>
      </c>
      <c r="M498" s="669">
        <v>116</v>
      </c>
      <c r="N498" s="668"/>
      <c r="O498" s="668">
        <v>10</v>
      </c>
      <c r="P498" s="668" t="str">
        <f>IFERROR(VLOOKUP(F498, [2]MOE!B:C, 2, FALSE), "No")</f>
        <v>No</v>
      </c>
      <c r="Q498" s="711" t="s">
        <v>1045</v>
      </c>
      <c r="S498" s="670" t="s">
        <v>1374</v>
      </c>
      <c r="T498" s="668" t="s">
        <v>1048</v>
      </c>
    </row>
    <row r="499" spans="1:20">
      <c r="A499" s="679">
        <v>6001440</v>
      </c>
      <c r="B499" s="677"/>
      <c r="C499" s="672"/>
      <c r="D499" s="672"/>
      <c r="E499" s="676" t="s">
        <v>1404</v>
      </c>
      <c r="F499" s="680" t="s">
        <v>1405</v>
      </c>
      <c r="G499" s="710">
        <v>600</v>
      </c>
      <c r="H499" s="682">
        <v>1440</v>
      </c>
      <c r="J499" s="668" t="str">
        <f t="shared" si="75"/>
        <v>(5) Other Supplies</v>
      </c>
      <c r="L499" s="668">
        <v>126</v>
      </c>
      <c r="M499" s="669">
        <v>117</v>
      </c>
      <c r="N499" s="668"/>
      <c r="O499" s="668">
        <v>10</v>
      </c>
      <c r="P499" s="668" t="str">
        <f>IFERROR(VLOOKUP(F499, [2]MOE!B:C, 2, FALSE), "No")</f>
        <v>No</v>
      </c>
      <c r="Q499" s="711"/>
      <c r="S499" s="670" t="s">
        <v>1374</v>
      </c>
      <c r="T499" s="668" t="s">
        <v>1050</v>
      </c>
    </row>
    <row r="500" spans="1:20">
      <c r="A500" s="671"/>
      <c r="B500" s="677"/>
      <c r="C500" s="672"/>
      <c r="D500" s="672" t="s">
        <v>853</v>
      </c>
      <c r="E500" s="676" t="s">
        <v>1052</v>
      </c>
      <c r="F500" s="675"/>
      <c r="G500" s="672"/>
      <c r="H500" s="676"/>
      <c r="Q500" s="711"/>
      <c r="S500" s="670"/>
    </row>
    <row r="501" spans="1:20">
      <c r="A501" s="679">
        <v>7341440</v>
      </c>
      <c r="B501" s="677"/>
      <c r="C501" s="672"/>
      <c r="D501" s="672"/>
      <c r="E501" s="676" t="s">
        <v>1147</v>
      </c>
      <c r="F501" s="680" t="s">
        <v>1406</v>
      </c>
      <c r="G501" s="710">
        <v>734</v>
      </c>
      <c r="H501" s="682">
        <v>1440</v>
      </c>
      <c r="J501" s="668" t="str">
        <f t="shared" ref="J501:J504" si="76">E501</f>
        <v>(1) Technology-Related Hardware</v>
      </c>
      <c r="L501" s="668">
        <v>131</v>
      </c>
      <c r="M501" s="669">
        <v>122</v>
      </c>
      <c r="N501" s="668"/>
      <c r="O501" s="668">
        <v>10</v>
      </c>
      <c r="P501" s="668" t="str">
        <f>IFERROR(VLOOKUP(F501, [2]MOE!B:C, 2, FALSE), "No")</f>
        <v>No</v>
      </c>
      <c r="Q501" s="711"/>
      <c r="S501" s="670" t="s">
        <v>1374</v>
      </c>
      <c r="T501" s="668" t="s">
        <v>1053</v>
      </c>
    </row>
    <row r="502" spans="1:20">
      <c r="A502" s="679">
        <v>7351440</v>
      </c>
      <c r="B502" s="677"/>
      <c r="C502" s="672"/>
      <c r="D502" s="672"/>
      <c r="E502" s="676" t="s">
        <v>1149</v>
      </c>
      <c r="F502" s="680" t="s">
        <v>1407</v>
      </c>
      <c r="G502" s="710">
        <v>735</v>
      </c>
      <c r="H502" s="682">
        <v>1440</v>
      </c>
      <c r="J502" s="668" t="str">
        <f t="shared" si="76"/>
        <v>(2) Technology Software</v>
      </c>
      <c r="L502" s="668">
        <v>131</v>
      </c>
      <c r="M502" s="669">
        <v>122</v>
      </c>
      <c r="N502" s="668"/>
      <c r="O502" s="668">
        <v>10</v>
      </c>
      <c r="P502" s="668" t="str">
        <f>IFERROR(VLOOKUP(F502, [2]MOE!B:C, 2, FALSE), "No")</f>
        <v>No</v>
      </c>
      <c r="Q502" s="711"/>
      <c r="S502" s="670" t="s">
        <v>1374</v>
      </c>
      <c r="T502" s="668" t="s">
        <v>1055</v>
      </c>
    </row>
    <row r="503" spans="1:20">
      <c r="A503" s="679">
        <v>7301440</v>
      </c>
      <c r="B503" s="677"/>
      <c r="C503" s="672"/>
      <c r="D503" s="672"/>
      <c r="E503" s="676" t="s">
        <v>1408</v>
      </c>
      <c r="F503" s="680" t="s">
        <v>1409</v>
      </c>
      <c r="G503" s="710">
        <v>730</v>
      </c>
      <c r="H503" s="682">
        <v>1440</v>
      </c>
      <c r="J503" s="668" t="str">
        <f t="shared" si="76"/>
        <v>(3) All Other Equipment (Including Veh.)</v>
      </c>
      <c r="L503" s="668">
        <v>131</v>
      </c>
      <c r="M503" s="669">
        <v>122</v>
      </c>
      <c r="N503" s="668"/>
      <c r="O503" s="668">
        <v>10</v>
      </c>
      <c r="P503" s="668" t="str">
        <f>IFERROR(VLOOKUP(F503, [2]MOE!B:C, 2, FALSE), "No")</f>
        <v>No</v>
      </c>
      <c r="Q503" s="711"/>
      <c r="S503" s="670" t="s">
        <v>1374</v>
      </c>
      <c r="T503" s="668" t="s">
        <v>1057</v>
      </c>
    </row>
    <row r="504" spans="1:20">
      <c r="A504" s="679">
        <v>7001440</v>
      </c>
      <c r="B504" s="677"/>
      <c r="C504" s="672"/>
      <c r="D504" s="672"/>
      <c r="E504" s="676" t="s">
        <v>1153</v>
      </c>
      <c r="F504" s="680" t="s">
        <v>1410</v>
      </c>
      <c r="G504" s="710">
        <v>700</v>
      </c>
      <c r="H504" s="682">
        <v>1440</v>
      </c>
      <c r="J504" s="668" t="str">
        <f t="shared" si="76"/>
        <v>(4) Other Property</v>
      </c>
      <c r="L504" s="668">
        <v>132</v>
      </c>
      <c r="M504" s="669">
        <v>123</v>
      </c>
      <c r="N504" s="668"/>
      <c r="O504" s="668">
        <v>10</v>
      </c>
      <c r="P504" s="668" t="str">
        <f>IFERROR(VLOOKUP(F504, [2]MOE!B:C, 2, FALSE), "No")</f>
        <v>No</v>
      </c>
      <c r="Q504" s="711"/>
      <c r="S504" s="670" t="s">
        <v>1374</v>
      </c>
      <c r="T504" s="668" t="s">
        <v>1059</v>
      </c>
    </row>
    <row r="505" spans="1:20">
      <c r="A505" s="671"/>
      <c r="B505" s="677"/>
      <c r="C505" s="672"/>
      <c r="D505" s="672" t="s">
        <v>856</v>
      </c>
      <c r="E505" s="676" t="s">
        <v>256</v>
      </c>
      <c r="F505" s="675"/>
      <c r="G505" s="672"/>
      <c r="H505" s="676"/>
      <c r="Q505" s="711"/>
      <c r="S505" s="670"/>
    </row>
    <row r="506" spans="1:20">
      <c r="A506" s="679">
        <v>8951440</v>
      </c>
      <c r="B506" s="677"/>
      <c r="C506" s="672"/>
      <c r="D506" s="672"/>
      <c r="E506" s="676" t="s">
        <v>1155</v>
      </c>
      <c r="F506" s="683" t="s">
        <v>1411</v>
      </c>
      <c r="G506" s="678">
        <v>895</v>
      </c>
      <c r="H506" s="684">
        <v>1440</v>
      </c>
      <c r="J506" s="668" t="str">
        <f t="shared" ref="J506:J507" si="77">E506</f>
        <v>(1) Miscellaneous Non-Public Expenditures</v>
      </c>
      <c r="L506" s="668">
        <v>139</v>
      </c>
      <c r="M506" s="669">
        <v>129</v>
      </c>
      <c r="N506" s="668"/>
      <c r="O506" s="668">
        <v>10</v>
      </c>
      <c r="P506" s="668" t="str">
        <f>IFERROR(VLOOKUP(F506, [2]MOE!B:C, 2, FALSE), "No")</f>
        <v>No</v>
      </c>
      <c r="Q506" s="711"/>
      <c r="S506" s="670" t="s">
        <v>1374</v>
      </c>
      <c r="T506" s="668" t="s">
        <v>1061</v>
      </c>
    </row>
    <row r="507" spans="1:20">
      <c r="A507" s="679">
        <v>8001440</v>
      </c>
      <c r="B507" s="677"/>
      <c r="C507" s="672"/>
      <c r="D507" s="672"/>
      <c r="E507" s="676" t="s">
        <v>1157</v>
      </c>
      <c r="F507" s="683" t="s">
        <v>1412</v>
      </c>
      <c r="G507" s="678">
        <v>800</v>
      </c>
      <c r="H507" s="684">
        <v>1440</v>
      </c>
      <c r="J507" s="668" t="str">
        <f t="shared" si="77"/>
        <v>(2) Other Miscellaneous Expenditures</v>
      </c>
      <c r="L507" s="668">
        <v>139</v>
      </c>
      <c r="M507" s="669">
        <v>129</v>
      </c>
      <c r="N507" s="668"/>
      <c r="O507" s="668">
        <v>10</v>
      </c>
      <c r="P507" s="668" t="str">
        <f>IFERROR(VLOOKUP(F507, [2]MOE!B:C, 2, FALSE), "No")</f>
        <v>No</v>
      </c>
      <c r="Q507" s="711"/>
      <c r="S507" s="670" t="s">
        <v>1374</v>
      </c>
      <c r="T507" s="668" t="s">
        <v>1063</v>
      </c>
    </row>
    <row r="508" spans="1:20">
      <c r="A508" s="671"/>
      <c r="B508" s="677"/>
      <c r="C508" s="672"/>
      <c r="D508" s="672" t="s">
        <v>859</v>
      </c>
      <c r="E508" s="676" t="s">
        <v>1065</v>
      </c>
      <c r="F508" s="675"/>
      <c r="G508" s="672"/>
      <c r="H508" s="676"/>
      <c r="Q508" s="711"/>
      <c r="S508" s="670"/>
    </row>
    <row r="509" spans="1:20">
      <c r="A509" s="679">
        <v>2101440</v>
      </c>
      <c r="B509" s="677"/>
      <c r="C509" s="672"/>
      <c r="D509" s="672"/>
      <c r="E509" s="676" t="s">
        <v>1159</v>
      </c>
      <c r="F509" s="683" t="s">
        <v>1413</v>
      </c>
      <c r="G509" s="678">
        <v>210</v>
      </c>
      <c r="H509" s="684">
        <v>1440</v>
      </c>
      <c r="J509" s="668" t="str">
        <f t="shared" ref="J509:J511" si="78">E509</f>
        <v>(1) Group Insurance</v>
      </c>
      <c r="L509" s="668">
        <v>89</v>
      </c>
      <c r="M509" s="669">
        <v>84</v>
      </c>
      <c r="N509" s="668"/>
      <c r="O509" s="668">
        <v>10</v>
      </c>
      <c r="P509" s="668" t="str">
        <f>IFERROR(VLOOKUP(F509, [2]MOE!B:C, 2, FALSE), "No")</f>
        <v>No</v>
      </c>
      <c r="Q509" s="711" t="s">
        <v>1004</v>
      </c>
      <c r="S509" s="670" t="s">
        <v>1374</v>
      </c>
      <c r="T509" s="668" t="s">
        <v>1066</v>
      </c>
    </row>
    <row r="510" spans="1:20">
      <c r="A510" s="679">
        <v>2201440</v>
      </c>
      <c r="B510" s="677"/>
      <c r="C510" s="672"/>
      <c r="D510" s="672"/>
      <c r="E510" s="676" t="s">
        <v>1161</v>
      </c>
      <c r="F510" s="683" t="s">
        <v>1414</v>
      </c>
      <c r="G510" s="678">
        <v>220</v>
      </c>
      <c r="H510" s="684">
        <v>1440</v>
      </c>
      <c r="J510" s="668" t="str">
        <f t="shared" si="78"/>
        <v>(2) FICA</v>
      </c>
      <c r="L510" s="668">
        <v>90</v>
      </c>
      <c r="M510" s="669">
        <v>85</v>
      </c>
      <c r="N510" s="668"/>
      <c r="O510" s="668">
        <v>10</v>
      </c>
      <c r="P510" s="668" t="str">
        <f>IFERROR(VLOOKUP(F510, [2]MOE!B:C, 2, FALSE), "No")</f>
        <v>No</v>
      </c>
      <c r="Q510" s="711" t="s">
        <v>1004</v>
      </c>
      <c r="S510" s="670" t="s">
        <v>1374</v>
      </c>
      <c r="T510" s="668" t="s">
        <v>1068</v>
      </c>
    </row>
    <row r="511" spans="1:20">
      <c r="A511" s="679">
        <v>2251440</v>
      </c>
      <c r="B511" s="677"/>
      <c r="C511" s="672"/>
      <c r="D511" s="672"/>
      <c r="E511" s="676" t="s">
        <v>1163</v>
      </c>
      <c r="F511" s="683" t="s">
        <v>1415</v>
      </c>
      <c r="G511" s="678">
        <v>225</v>
      </c>
      <c r="H511" s="684">
        <v>1440</v>
      </c>
      <c r="J511" s="668" t="str">
        <f t="shared" si="78"/>
        <v>(3) Medicare</v>
      </c>
      <c r="L511" s="668">
        <v>91</v>
      </c>
      <c r="M511" s="669">
        <v>86</v>
      </c>
      <c r="N511" s="668"/>
      <c r="O511" s="668">
        <v>10</v>
      </c>
      <c r="P511" s="668" t="str">
        <f>IFERROR(VLOOKUP(F511, [2]MOE!B:C, 2, FALSE), "No")</f>
        <v>No</v>
      </c>
      <c r="Q511" s="711" t="s">
        <v>1004</v>
      </c>
      <c r="S511" s="670" t="s">
        <v>1374</v>
      </c>
      <c r="T511" s="668" t="s">
        <v>23</v>
      </c>
    </row>
    <row r="512" spans="1:20">
      <c r="A512" s="671"/>
      <c r="B512" s="677"/>
      <c r="C512" s="672"/>
      <c r="D512" s="672"/>
      <c r="E512" s="676" t="s">
        <v>1165</v>
      </c>
      <c r="F512" s="675"/>
      <c r="G512" s="672"/>
      <c r="H512" s="676"/>
      <c r="Q512" s="711"/>
      <c r="S512" s="670"/>
    </row>
    <row r="513" spans="1:20">
      <c r="A513" s="679">
        <v>2311440</v>
      </c>
      <c r="B513" s="677"/>
      <c r="C513" s="672"/>
      <c r="D513" s="672"/>
      <c r="E513" s="676" t="s">
        <v>1166</v>
      </c>
      <c r="F513" s="683" t="s">
        <v>1416</v>
      </c>
      <c r="G513" s="678">
        <v>231</v>
      </c>
      <c r="H513" s="684">
        <v>1440</v>
      </c>
      <c r="J513" s="668" t="str">
        <f t="shared" ref="J513:J521" si="79">E513</f>
        <v>(a) Louisiana Teachers Retirement</v>
      </c>
      <c r="L513" s="668">
        <v>92</v>
      </c>
      <c r="M513" s="669">
        <v>87</v>
      </c>
      <c r="N513" s="668"/>
      <c r="O513" s="668">
        <v>10</v>
      </c>
      <c r="P513" s="668" t="str">
        <f>IFERROR(VLOOKUP(F513, [2]MOE!B:C, 2, FALSE), "No")</f>
        <v>No</v>
      </c>
      <c r="Q513" s="711" t="s">
        <v>1004</v>
      </c>
      <c r="S513" s="670" t="s">
        <v>1374</v>
      </c>
      <c r="T513" s="668" t="s">
        <v>1074</v>
      </c>
    </row>
    <row r="514" spans="1:20">
      <c r="A514" s="679">
        <v>2331440</v>
      </c>
      <c r="B514" s="677"/>
      <c r="C514" s="672"/>
      <c r="D514" s="672"/>
      <c r="E514" s="676" t="s">
        <v>1168</v>
      </c>
      <c r="F514" s="683" t="s">
        <v>1417</v>
      </c>
      <c r="G514" s="678">
        <v>233</v>
      </c>
      <c r="H514" s="684">
        <v>1440</v>
      </c>
      <c r="J514" s="668" t="str">
        <f t="shared" si="79"/>
        <v>(b) Louisiana School Emp. Retirement</v>
      </c>
      <c r="L514" s="668">
        <v>92</v>
      </c>
      <c r="M514" s="669">
        <v>87</v>
      </c>
      <c r="N514" s="668"/>
      <c r="O514" s="668">
        <v>10</v>
      </c>
      <c r="P514" s="668" t="str">
        <f>IFERROR(VLOOKUP(F514, [2]MOE!B:C, 2, FALSE), "No")</f>
        <v>No</v>
      </c>
      <c r="Q514" s="711" t="s">
        <v>1004</v>
      </c>
      <c r="S514" s="670" t="s">
        <v>1374</v>
      </c>
      <c r="T514" s="668" t="s">
        <v>1170</v>
      </c>
    </row>
    <row r="515" spans="1:20">
      <c r="A515" s="679">
        <v>2391440</v>
      </c>
      <c r="B515" s="677"/>
      <c r="C515" s="672"/>
      <c r="D515" s="672"/>
      <c r="E515" s="676" t="s">
        <v>1171</v>
      </c>
      <c r="F515" s="683" t="s">
        <v>1418</v>
      </c>
      <c r="G515" s="678">
        <v>239</v>
      </c>
      <c r="H515" s="684">
        <v>1440</v>
      </c>
      <c r="J515" s="668" t="str">
        <f t="shared" si="79"/>
        <v>(c) Other Retirement</v>
      </c>
      <c r="L515" s="668">
        <v>92</v>
      </c>
      <c r="M515" s="669">
        <v>87</v>
      </c>
      <c r="N515" s="668"/>
      <c r="O515" s="668">
        <v>10</v>
      </c>
      <c r="P515" s="668" t="str">
        <f>IFERROR(VLOOKUP(F515, [2]MOE!B:C, 2, FALSE), "No")</f>
        <v>No</v>
      </c>
      <c r="Q515" s="711" t="s">
        <v>1004</v>
      </c>
      <c r="S515" s="670" t="s">
        <v>1374</v>
      </c>
      <c r="T515" s="668" t="s">
        <v>1080</v>
      </c>
    </row>
    <row r="516" spans="1:20">
      <c r="A516" s="679">
        <v>2501440</v>
      </c>
      <c r="B516" s="677"/>
      <c r="C516" s="672"/>
      <c r="D516" s="672"/>
      <c r="E516" s="676" t="s">
        <v>1173</v>
      </c>
      <c r="F516" s="683" t="s">
        <v>1419</v>
      </c>
      <c r="G516" s="678">
        <v>250</v>
      </c>
      <c r="H516" s="684">
        <v>1440</v>
      </c>
      <c r="J516" s="668" t="str">
        <f t="shared" si="79"/>
        <v>(5) Unemployment Compensation</v>
      </c>
      <c r="L516" s="668">
        <v>93</v>
      </c>
      <c r="M516" s="669">
        <v>88</v>
      </c>
      <c r="N516" s="668"/>
      <c r="O516" s="668">
        <v>10</v>
      </c>
      <c r="P516" s="668" t="str">
        <f>IFERROR(VLOOKUP(F516, [2]MOE!B:C, 2, FALSE), "No")</f>
        <v>No</v>
      </c>
      <c r="Q516" s="711" t="s">
        <v>1004</v>
      </c>
      <c r="S516" s="670" t="s">
        <v>1374</v>
      </c>
      <c r="T516" s="668" t="s">
        <v>1081</v>
      </c>
    </row>
    <row r="517" spans="1:20">
      <c r="A517" s="679">
        <v>2601440</v>
      </c>
      <c r="B517" s="677"/>
      <c r="C517" s="672"/>
      <c r="D517" s="672"/>
      <c r="E517" s="676" t="s">
        <v>1175</v>
      </c>
      <c r="F517" s="683" t="s">
        <v>1420</v>
      </c>
      <c r="G517" s="678">
        <v>260</v>
      </c>
      <c r="H517" s="684">
        <v>1440</v>
      </c>
      <c r="J517" s="668" t="str">
        <f t="shared" si="79"/>
        <v>(6) Workmen's Compensation</v>
      </c>
      <c r="L517" s="668">
        <v>95</v>
      </c>
      <c r="M517" s="669">
        <v>90</v>
      </c>
      <c r="N517" s="668"/>
      <c r="O517" s="668">
        <v>10</v>
      </c>
      <c r="P517" s="668" t="str">
        <f>IFERROR(VLOOKUP(F517, [2]MOE!B:C, 2, FALSE), "No")</f>
        <v>No</v>
      </c>
      <c r="Q517" s="711" t="s">
        <v>1004</v>
      </c>
      <c r="S517" s="670" t="s">
        <v>1374</v>
      </c>
      <c r="T517" s="668" t="s">
        <v>1083</v>
      </c>
    </row>
    <row r="518" spans="1:20">
      <c r="A518" s="679">
        <v>2701440</v>
      </c>
      <c r="B518" s="677"/>
      <c r="C518" s="672"/>
      <c r="D518" s="672"/>
      <c r="E518" s="676" t="s">
        <v>1177</v>
      </c>
      <c r="F518" s="683" t="s">
        <v>1421</v>
      </c>
      <c r="G518" s="678">
        <v>270</v>
      </c>
      <c r="H518" s="684">
        <v>1440</v>
      </c>
      <c r="J518" s="668" t="str">
        <f t="shared" si="79"/>
        <v>(7) Health Benefits (retirees)</v>
      </c>
      <c r="L518" s="668">
        <v>94</v>
      </c>
      <c r="M518" s="669">
        <v>89</v>
      </c>
      <c r="N518" s="668"/>
      <c r="O518" s="668">
        <v>10</v>
      </c>
      <c r="P518" s="668" t="str">
        <f>IFERROR(VLOOKUP(F518, [2]MOE!B:C, 2, FALSE), "No")</f>
        <v>No</v>
      </c>
      <c r="Q518" s="711" t="s">
        <v>1004</v>
      </c>
      <c r="S518" s="670" t="s">
        <v>1374</v>
      </c>
      <c r="T518" s="668" t="s">
        <v>1085</v>
      </c>
    </row>
    <row r="519" spans="1:20">
      <c r="A519" s="679">
        <v>2811440</v>
      </c>
      <c r="B519" s="677"/>
      <c r="C519" s="672"/>
      <c r="D519" s="672"/>
      <c r="E519" s="676" t="s">
        <v>1179</v>
      </c>
      <c r="F519" s="683" t="s">
        <v>1422</v>
      </c>
      <c r="G519" s="678">
        <v>281</v>
      </c>
      <c r="H519" s="684">
        <v>1440</v>
      </c>
      <c r="J519" s="668" t="str">
        <f t="shared" si="79"/>
        <v>(8) Sick Leave Severance Pay</v>
      </c>
      <c r="L519" s="668">
        <v>95</v>
      </c>
      <c r="M519" s="669">
        <v>90</v>
      </c>
      <c r="N519" s="668"/>
      <c r="O519" s="668">
        <v>10</v>
      </c>
      <c r="P519" s="668" t="str">
        <f>IFERROR(VLOOKUP(F519, [2]MOE!B:C, 2, FALSE), "No")</f>
        <v>No</v>
      </c>
      <c r="Q519" s="711" t="s">
        <v>1004</v>
      </c>
      <c r="S519" s="670" t="s">
        <v>1374</v>
      </c>
      <c r="T519" s="668" t="s">
        <v>1087</v>
      </c>
    </row>
    <row r="520" spans="1:20">
      <c r="A520" s="679">
        <v>2821440</v>
      </c>
      <c r="B520" s="677"/>
      <c r="C520" s="672"/>
      <c r="D520" s="672"/>
      <c r="E520" s="676" t="s">
        <v>1181</v>
      </c>
      <c r="F520" s="683" t="s">
        <v>1423</v>
      </c>
      <c r="G520" s="678">
        <v>282</v>
      </c>
      <c r="H520" s="684">
        <v>1440</v>
      </c>
      <c r="J520" s="668" t="str">
        <f t="shared" si="79"/>
        <v>(9) Annual Leave Severance Pay</v>
      </c>
      <c r="L520" s="668">
        <v>95</v>
      </c>
      <c r="M520" s="669">
        <v>90</v>
      </c>
      <c r="N520" s="668"/>
      <c r="O520" s="668">
        <v>10</v>
      </c>
      <c r="P520" s="668" t="str">
        <f>IFERROR(VLOOKUP(F520, [2]MOE!B:C, 2, FALSE), "No")</f>
        <v>No</v>
      </c>
      <c r="Q520" s="711" t="s">
        <v>1004</v>
      </c>
      <c r="S520" s="670" t="s">
        <v>1374</v>
      </c>
      <c r="T520" s="668" t="s">
        <v>1089</v>
      </c>
    </row>
    <row r="521" spans="1:20">
      <c r="A521" s="679">
        <v>2901440</v>
      </c>
      <c r="B521" s="677"/>
      <c r="C521" s="672"/>
      <c r="D521" s="672"/>
      <c r="E521" s="676" t="s">
        <v>1183</v>
      </c>
      <c r="F521" s="683" t="s">
        <v>1424</v>
      </c>
      <c r="G521" s="678">
        <v>290</v>
      </c>
      <c r="H521" s="684">
        <v>1440</v>
      </c>
      <c r="J521" s="668" t="str">
        <f t="shared" si="79"/>
        <v>(10) Other Employee Benefits</v>
      </c>
      <c r="L521" s="668">
        <v>95</v>
      </c>
      <c r="M521" s="669">
        <v>90</v>
      </c>
      <c r="N521" s="668"/>
      <c r="O521" s="668">
        <v>10</v>
      </c>
      <c r="P521" s="668" t="str">
        <f>IFERROR(VLOOKUP(F521, [2]MOE!B:C, 2, FALSE), "No")</f>
        <v>No</v>
      </c>
      <c r="Q521" s="711" t="s">
        <v>1004</v>
      </c>
      <c r="S521" s="670" t="s">
        <v>1374</v>
      </c>
      <c r="T521" s="668" t="s">
        <v>1092</v>
      </c>
    </row>
    <row r="522" spans="1:20">
      <c r="A522" s="671"/>
      <c r="B522" s="677"/>
      <c r="C522" s="678">
        <v>22</v>
      </c>
      <c r="D522" s="925" t="s">
        <v>1425</v>
      </c>
      <c r="E522" s="926"/>
      <c r="F522" s="675"/>
      <c r="G522" s="672"/>
      <c r="H522" s="676"/>
      <c r="Q522" s="711"/>
      <c r="S522" s="670"/>
    </row>
    <row r="523" spans="1:20">
      <c r="A523" s="671"/>
      <c r="B523" s="677"/>
      <c r="C523" s="672"/>
      <c r="D523" s="672" t="s">
        <v>759</v>
      </c>
      <c r="E523" s="676" t="s">
        <v>244</v>
      </c>
      <c r="F523" s="675"/>
      <c r="G523" s="672"/>
      <c r="H523" s="676"/>
      <c r="Q523" s="711"/>
      <c r="S523" s="670"/>
    </row>
    <row r="524" spans="1:20">
      <c r="A524" s="679">
        <v>1121450</v>
      </c>
      <c r="B524" s="677"/>
      <c r="C524" s="672"/>
      <c r="D524" s="672"/>
      <c r="E524" s="676" t="s">
        <v>1426</v>
      </c>
      <c r="F524" s="680" t="s">
        <v>1427</v>
      </c>
      <c r="G524" s="710">
        <v>112</v>
      </c>
      <c r="H524" s="682">
        <v>1450</v>
      </c>
      <c r="J524" s="668" t="str">
        <f t="shared" ref="J524:J530" si="80">E524</f>
        <v>(1) Teachers/Instructors</v>
      </c>
      <c r="L524" s="668">
        <v>82</v>
      </c>
      <c r="M524" s="669">
        <v>77</v>
      </c>
      <c r="N524" s="668"/>
      <c r="O524" s="668">
        <v>10</v>
      </c>
      <c r="P524" s="668" t="str">
        <f>IFERROR(VLOOKUP(F524, [2]MOE!B:C, 2, FALSE), "No")</f>
        <v>No</v>
      </c>
      <c r="Q524" s="711" t="s">
        <v>1004</v>
      </c>
      <c r="S524" s="670" t="s">
        <v>932</v>
      </c>
      <c r="T524" s="668" t="s">
        <v>1428</v>
      </c>
    </row>
    <row r="525" spans="1:20">
      <c r="A525" s="679">
        <v>1151450</v>
      </c>
      <c r="B525" s="677"/>
      <c r="C525" s="672"/>
      <c r="D525" s="672"/>
      <c r="E525" s="676" t="s">
        <v>1100</v>
      </c>
      <c r="F525" s="680" t="s">
        <v>1429</v>
      </c>
      <c r="G525" s="710">
        <v>115</v>
      </c>
      <c r="H525" s="682">
        <v>1450</v>
      </c>
      <c r="J525" s="668" t="str">
        <f t="shared" si="80"/>
        <v>(2) Para-professionals (Aides)</v>
      </c>
      <c r="L525" s="668">
        <v>86</v>
      </c>
      <c r="M525" s="669">
        <v>81</v>
      </c>
      <c r="N525" s="668"/>
      <c r="O525" s="668">
        <v>10</v>
      </c>
      <c r="P525" s="668" t="str">
        <f>IFERROR(VLOOKUP(F525, [2]MOE!B:C, 2, FALSE), "No")</f>
        <v>No</v>
      </c>
      <c r="Q525" s="711" t="s">
        <v>1004</v>
      </c>
      <c r="S525" s="670" t="s">
        <v>932</v>
      </c>
      <c r="T525" s="668" t="s">
        <v>1102</v>
      </c>
    </row>
    <row r="526" spans="1:20">
      <c r="A526" s="679">
        <v>1231450</v>
      </c>
      <c r="B526" s="677"/>
      <c r="C526" s="672"/>
      <c r="D526" s="672"/>
      <c r="E526" s="676" t="s">
        <v>1103</v>
      </c>
      <c r="F526" s="680" t="s">
        <v>1430</v>
      </c>
      <c r="G526" s="710">
        <v>123</v>
      </c>
      <c r="H526" s="682">
        <v>1450</v>
      </c>
      <c r="J526" s="668" t="str">
        <f t="shared" si="80"/>
        <v>(3) Substitute Teachers</v>
      </c>
      <c r="L526" s="668">
        <v>86</v>
      </c>
      <c r="M526" s="669">
        <v>81</v>
      </c>
      <c r="N526" s="668"/>
      <c r="O526" s="668">
        <v>10</v>
      </c>
      <c r="P526" s="668" t="str">
        <f>IFERROR(VLOOKUP(F526, [2]MOE!B:C, 2, FALSE), "No")</f>
        <v>No</v>
      </c>
      <c r="Q526" s="711" t="s">
        <v>1004</v>
      </c>
      <c r="S526" s="670" t="s">
        <v>932</v>
      </c>
      <c r="T526" s="668" t="s">
        <v>1105</v>
      </c>
    </row>
    <row r="527" spans="1:20">
      <c r="A527" s="679">
        <v>1201450</v>
      </c>
      <c r="B527" s="677"/>
      <c r="C527" s="672"/>
      <c r="D527" s="672"/>
      <c r="E527" s="676" t="s">
        <v>1106</v>
      </c>
      <c r="F527" s="680" t="s">
        <v>1431</v>
      </c>
      <c r="G527" s="710">
        <v>120</v>
      </c>
      <c r="H527" s="682">
        <v>1450</v>
      </c>
      <c r="J527" s="668" t="str">
        <f t="shared" si="80"/>
        <v>(4) Other Substitute/Temp. Employees</v>
      </c>
      <c r="L527" s="668">
        <v>86</v>
      </c>
      <c r="M527" s="669">
        <v>81</v>
      </c>
      <c r="N527" s="668"/>
      <c r="O527" s="668">
        <v>10</v>
      </c>
      <c r="P527" s="668" t="str">
        <f>IFERROR(VLOOKUP(F527, [2]MOE!B:C, 2, FALSE), "No")</f>
        <v>No</v>
      </c>
      <c r="Q527" s="711" t="s">
        <v>1004</v>
      </c>
      <c r="S527" s="670" t="s">
        <v>932</v>
      </c>
      <c r="T527" s="668" t="s">
        <v>1108</v>
      </c>
    </row>
    <row r="528" spans="1:20">
      <c r="A528" s="679">
        <v>1001450</v>
      </c>
      <c r="B528" s="677"/>
      <c r="C528" s="672"/>
      <c r="D528" s="672"/>
      <c r="E528" s="676" t="s">
        <v>1109</v>
      </c>
      <c r="F528" s="680" t="s">
        <v>1432</v>
      </c>
      <c r="G528" s="710">
        <v>100</v>
      </c>
      <c r="H528" s="682">
        <v>1450</v>
      </c>
      <c r="J528" s="668" t="str">
        <f t="shared" si="80"/>
        <v>(5) Other Instructional Salaries</v>
      </c>
      <c r="L528" s="668">
        <v>86</v>
      </c>
      <c r="M528" s="669">
        <v>81</v>
      </c>
      <c r="N528" s="668"/>
      <c r="O528" s="668">
        <v>10</v>
      </c>
      <c r="P528" s="668" t="str">
        <f>IFERROR(VLOOKUP(F528, [2]MOE!B:C, 2, FALSE), "No")</f>
        <v>No</v>
      </c>
      <c r="Q528" s="711" t="s">
        <v>1004</v>
      </c>
      <c r="S528" s="670" t="s">
        <v>932</v>
      </c>
      <c r="T528" s="668" t="s">
        <v>1017</v>
      </c>
    </row>
    <row r="529" spans="1:20">
      <c r="A529" s="679">
        <v>1401450</v>
      </c>
      <c r="B529" s="677"/>
      <c r="C529" s="672"/>
      <c r="D529" s="672"/>
      <c r="E529" s="676" t="s">
        <v>1111</v>
      </c>
      <c r="F529" s="680" t="s">
        <v>1433</v>
      </c>
      <c r="G529" s="710">
        <v>140</v>
      </c>
      <c r="H529" s="682">
        <v>1450</v>
      </c>
      <c r="J529" s="668" t="str">
        <f t="shared" si="80"/>
        <v>(6) Sabbatical Leave</v>
      </c>
      <c r="L529" s="668">
        <v>86</v>
      </c>
      <c r="M529" s="669">
        <v>81</v>
      </c>
      <c r="N529" s="668"/>
      <c r="O529" s="668">
        <v>10</v>
      </c>
      <c r="P529" s="668" t="str">
        <f>IFERROR(VLOOKUP(F529, [2]MOE!B:C, 2, FALSE), "No")</f>
        <v>No</v>
      </c>
      <c r="Q529" s="711" t="s">
        <v>1004</v>
      </c>
      <c r="S529" s="670" t="s">
        <v>932</v>
      </c>
      <c r="T529" s="668" t="s">
        <v>1019</v>
      </c>
    </row>
    <row r="530" spans="1:20">
      <c r="A530" s="679">
        <v>3001450</v>
      </c>
      <c r="B530" s="677"/>
      <c r="C530" s="672"/>
      <c r="D530" s="672" t="s">
        <v>777</v>
      </c>
      <c r="E530" s="676" t="s">
        <v>1113</v>
      </c>
      <c r="F530" s="680" t="s">
        <v>1434</v>
      </c>
      <c r="G530" s="710">
        <v>300</v>
      </c>
      <c r="H530" s="682">
        <v>1450</v>
      </c>
      <c r="J530" s="668" t="str">
        <f t="shared" si="80"/>
        <v>Purchased Professional and Technical Svcs</v>
      </c>
      <c r="L530" s="668">
        <v>101</v>
      </c>
      <c r="M530" s="669">
        <v>96</v>
      </c>
      <c r="N530" s="668"/>
      <c r="O530" s="668">
        <v>10</v>
      </c>
      <c r="P530" s="668" t="str">
        <f>IFERROR(VLOOKUP(F530, [2]MOE!B:C, 2, FALSE), "No")</f>
        <v>No</v>
      </c>
      <c r="Q530" s="711"/>
      <c r="S530" s="670" t="s">
        <v>932</v>
      </c>
      <c r="T530" s="668" t="s">
        <v>1113</v>
      </c>
    </row>
    <row r="531" spans="1:20">
      <c r="A531" s="671"/>
      <c r="B531" s="677"/>
      <c r="C531" s="672"/>
      <c r="D531" s="672" t="s">
        <v>801</v>
      </c>
      <c r="E531" s="676" t="s">
        <v>250</v>
      </c>
      <c r="F531" s="675"/>
      <c r="G531" s="672"/>
      <c r="H531" s="676"/>
      <c r="Q531" s="711"/>
      <c r="S531" s="670"/>
    </row>
    <row r="532" spans="1:20">
      <c r="A532" s="679">
        <v>4301450</v>
      </c>
      <c r="B532" s="677"/>
      <c r="C532" s="672"/>
      <c r="D532" s="672"/>
      <c r="E532" s="676" t="s">
        <v>1115</v>
      </c>
      <c r="F532" s="680" t="s">
        <v>1435</v>
      </c>
      <c r="G532" s="710">
        <v>430</v>
      </c>
      <c r="H532" s="682">
        <v>1450</v>
      </c>
      <c r="J532" s="668" t="str">
        <f t="shared" ref="J532:J534" si="81">E532</f>
        <v>(1) Repairs and Maintenance Services</v>
      </c>
      <c r="L532" s="668">
        <v>107</v>
      </c>
      <c r="M532" s="669">
        <v>102</v>
      </c>
      <c r="N532" s="668"/>
      <c r="O532" s="668">
        <v>10</v>
      </c>
      <c r="P532" s="668" t="str">
        <f>IFERROR(VLOOKUP(F532, [2]MOE!B:C, 2, FALSE), "No")</f>
        <v>No</v>
      </c>
      <c r="Q532" s="711"/>
      <c r="S532" s="670" t="s">
        <v>932</v>
      </c>
      <c r="T532" s="668" t="s">
        <v>1023</v>
      </c>
    </row>
    <row r="533" spans="1:20">
      <c r="A533" s="679">
        <v>4421450</v>
      </c>
      <c r="B533" s="677"/>
      <c r="C533" s="672"/>
      <c r="D533" s="672"/>
      <c r="E533" s="676" t="s">
        <v>1117</v>
      </c>
      <c r="F533" s="680" t="s">
        <v>1436</v>
      </c>
      <c r="G533" s="710">
        <v>442</v>
      </c>
      <c r="H533" s="682">
        <v>1450</v>
      </c>
      <c r="J533" s="668" t="str">
        <f t="shared" si="81"/>
        <v>(2) Rental of Equipment</v>
      </c>
      <c r="L533" s="668">
        <v>106</v>
      </c>
      <c r="M533" s="669">
        <v>101</v>
      </c>
      <c r="N533" s="668"/>
      <c r="O533" s="668">
        <v>10</v>
      </c>
      <c r="P533" s="668" t="str">
        <f>IFERROR(VLOOKUP(F533, [2]MOE!B:C, 2, FALSE), "No")</f>
        <v>No</v>
      </c>
      <c r="Q533" s="711"/>
      <c r="S533" s="670" t="s">
        <v>932</v>
      </c>
      <c r="T533" s="668" t="s">
        <v>1025</v>
      </c>
    </row>
    <row r="534" spans="1:20">
      <c r="A534" s="679">
        <v>4001450</v>
      </c>
      <c r="B534" s="719"/>
      <c r="C534" s="681"/>
      <c r="D534" s="681"/>
      <c r="E534" s="686" t="s">
        <v>1119</v>
      </c>
      <c r="F534" s="680" t="s">
        <v>1437</v>
      </c>
      <c r="G534" s="710">
        <v>400</v>
      </c>
      <c r="H534" s="682">
        <v>1450</v>
      </c>
      <c r="J534" s="668" t="str">
        <f t="shared" si="81"/>
        <v>(3) Other Purchased Property Services</v>
      </c>
      <c r="L534" s="668">
        <v>108</v>
      </c>
      <c r="M534" s="669">
        <v>103</v>
      </c>
      <c r="N534" s="668"/>
      <c r="O534" s="668">
        <v>10</v>
      </c>
      <c r="P534" s="668" t="str">
        <f>IFERROR(VLOOKUP(F534, [2]MOE!B:C, 2, FALSE), "No")</f>
        <v>No</v>
      </c>
      <c r="Q534" s="711"/>
      <c r="S534" s="670" t="s">
        <v>932</v>
      </c>
      <c r="T534" s="668" t="s">
        <v>1027</v>
      </c>
    </row>
    <row r="535" spans="1:20">
      <c r="A535" s="671"/>
      <c r="B535" s="677"/>
      <c r="C535" s="672"/>
      <c r="D535" s="672" t="s">
        <v>805</v>
      </c>
      <c r="E535" s="676" t="s">
        <v>252</v>
      </c>
      <c r="F535" s="675"/>
      <c r="G535" s="672"/>
      <c r="H535" s="676"/>
      <c r="Q535" s="711"/>
      <c r="S535" s="670"/>
    </row>
    <row r="536" spans="1:20">
      <c r="A536" s="671"/>
      <c r="B536" s="677"/>
      <c r="C536" s="672"/>
      <c r="D536" s="672"/>
      <c r="E536" s="676" t="s">
        <v>1121</v>
      </c>
      <c r="F536" s="675"/>
      <c r="G536" s="672"/>
      <c r="H536" s="676"/>
      <c r="Q536" s="711"/>
      <c r="S536" s="670"/>
    </row>
    <row r="537" spans="1:20">
      <c r="A537" s="679">
        <v>5611450</v>
      </c>
      <c r="B537" s="677"/>
      <c r="C537" s="672"/>
      <c r="D537" s="672"/>
      <c r="E537" s="676" t="s">
        <v>1122</v>
      </c>
      <c r="F537" s="680" t="s">
        <v>1438</v>
      </c>
      <c r="G537" s="710">
        <v>561</v>
      </c>
      <c r="H537" s="682">
        <v>1450</v>
      </c>
      <c r="J537" s="668" t="str">
        <f t="shared" ref="J537:J541" si="82">E537</f>
        <v>(a) Paid to Other LEA (In-State)</v>
      </c>
      <c r="L537" s="668">
        <v>119</v>
      </c>
      <c r="M537" s="669">
        <v>110</v>
      </c>
      <c r="N537" s="668"/>
      <c r="O537" s="668">
        <v>10</v>
      </c>
      <c r="P537" s="668" t="str">
        <f>IFERROR(VLOOKUP(F537, [2]MOE!B:C, 2, FALSE), "No")</f>
        <v>No</v>
      </c>
      <c r="Q537" s="711"/>
      <c r="S537" s="670" t="s">
        <v>932</v>
      </c>
      <c r="T537" s="668" t="s">
        <v>1032</v>
      </c>
    </row>
    <row r="538" spans="1:20">
      <c r="A538" s="679">
        <v>5621450</v>
      </c>
      <c r="B538" s="677"/>
      <c r="C538" s="672"/>
      <c r="D538" s="672"/>
      <c r="E538" s="676" t="s">
        <v>1124</v>
      </c>
      <c r="F538" s="680" t="s">
        <v>1439</v>
      </c>
      <c r="G538" s="710">
        <v>562</v>
      </c>
      <c r="H538" s="682">
        <v>1450</v>
      </c>
      <c r="J538" s="668" t="str">
        <f t="shared" si="82"/>
        <v>(b) Paid to Other LEA (Out-of-State)</v>
      </c>
      <c r="L538" s="668">
        <v>119</v>
      </c>
      <c r="M538" s="669">
        <v>110</v>
      </c>
      <c r="N538" s="668"/>
      <c r="O538" s="668">
        <v>10</v>
      </c>
      <c r="P538" s="668" t="str">
        <f>IFERROR(VLOOKUP(F538, [2]MOE!B:C, 2, FALSE), "No")</f>
        <v>No</v>
      </c>
      <c r="Q538" s="711"/>
      <c r="S538" s="670" t="s">
        <v>932</v>
      </c>
      <c r="T538" s="668" t="s">
        <v>1035</v>
      </c>
    </row>
    <row r="539" spans="1:20">
      <c r="A539" s="679">
        <v>5631450</v>
      </c>
      <c r="B539" s="677"/>
      <c r="C539" s="672"/>
      <c r="D539" s="672"/>
      <c r="E539" s="676" t="s">
        <v>1305</v>
      </c>
      <c r="F539" s="680" t="s">
        <v>1440</v>
      </c>
      <c r="G539" s="710">
        <v>563</v>
      </c>
      <c r="H539" s="682">
        <v>1450</v>
      </c>
      <c r="J539" s="668" t="str">
        <f t="shared" si="82"/>
        <v>(c) Paid to Private Sources</v>
      </c>
      <c r="L539" s="668">
        <v>119</v>
      </c>
      <c r="M539" s="669">
        <v>110</v>
      </c>
      <c r="N539" s="668"/>
      <c r="O539" s="668">
        <v>10</v>
      </c>
      <c r="P539" s="668" t="str">
        <f>IFERROR(VLOOKUP(F539, [2]MOE!B:C, 2, FALSE), "No")</f>
        <v>No</v>
      </c>
      <c r="Q539" s="711"/>
      <c r="S539" s="670" t="s">
        <v>932</v>
      </c>
      <c r="T539" s="668" t="s">
        <v>1038</v>
      </c>
    </row>
    <row r="540" spans="1:20">
      <c r="A540" s="679">
        <v>5821450</v>
      </c>
      <c r="B540" s="677"/>
      <c r="C540" s="672"/>
      <c r="D540" s="672"/>
      <c r="E540" s="676" t="s">
        <v>1135</v>
      </c>
      <c r="F540" s="680" t="s">
        <v>1441</v>
      </c>
      <c r="G540" s="710">
        <v>582</v>
      </c>
      <c r="H540" s="682">
        <v>1450</v>
      </c>
      <c r="J540" s="668" t="str">
        <f t="shared" si="82"/>
        <v>(2) Travel Expense Reimbursement</v>
      </c>
      <c r="L540" s="668">
        <v>118</v>
      </c>
      <c r="M540" s="669">
        <v>109</v>
      </c>
      <c r="N540" s="668"/>
      <c r="O540" s="668">
        <v>10</v>
      </c>
      <c r="P540" s="668" t="str">
        <f>IFERROR(VLOOKUP(F540, [2]MOE!B:C, 2, FALSE), "No")</f>
        <v>No</v>
      </c>
      <c r="Q540" s="711"/>
      <c r="S540" s="670" t="s">
        <v>932</v>
      </c>
      <c r="T540" s="668" t="s">
        <v>1039</v>
      </c>
    </row>
    <row r="541" spans="1:20">
      <c r="A541" s="679">
        <v>5001450</v>
      </c>
      <c r="B541" s="677"/>
      <c r="C541" s="672"/>
      <c r="D541" s="672"/>
      <c r="E541" s="676" t="s">
        <v>1137</v>
      </c>
      <c r="F541" s="680" t="s">
        <v>1442</v>
      </c>
      <c r="G541" s="710">
        <v>500</v>
      </c>
      <c r="H541" s="682">
        <v>1450</v>
      </c>
      <c r="J541" s="668" t="str">
        <f t="shared" si="82"/>
        <v>(3) Other Purchased Services</v>
      </c>
      <c r="L541" s="668">
        <v>119</v>
      </c>
      <c r="M541" s="669">
        <v>110</v>
      </c>
      <c r="N541" s="668"/>
      <c r="O541" s="668">
        <v>10</v>
      </c>
      <c r="P541" s="668" t="str">
        <f>IFERROR(VLOOKUP(F541, [2]MOE!B:C, 2, FALSE), "No")</f>
        <v>No</v>
      </c>
      <c r="Q541" s="711"/>
      <c r="S541" s="670" t="s">
        <v>932</v>
      </c>
      <c r="T541" s="668" t="s">
        <v>252</v>
      </c>
    </row>
    <row r="542" spans="1:20">
      <c r="A542" s="671"/>
      <c r="B542" s="677"/>
      <c r="C542" s="672"/>
      <c r="D542" s="672" t="s">
        <v>850</v>
      </c>
      <c r="E542" s="676" t="s">
        <v>1042</v>
      </c>
      <c r="F542" s="675"/>
      <c r="G542" s="672"/>
      <c r="H542" s="676"/>
      <c r="Q542" s="711"/>
      <c r="S542" s="670"/>
    </row>
    <row r="543" spans="1:20">
      <c r="A543" s="679">
        <v>6151450</v>
      </c>
      <c r="B543" s="677"/>
      <c r="C543" s="672"/>
      <c r="D543" s="672"/>
      <c r="E543" s="676" t="s">
        <v>1139</v>
      </c>
      <c r="F543" s="680" t="s">
        <v>1443</v>
      </c>
      <c r="G543" s="710">
        <v>615</v>
      </c>
      <c r="H543" s="682">
        <v>1450</v>
      </c>
      <c r="J543" s="668" t="str">
        <f t="shared" ref="J543:J546" si="83">E543</f>
        <v>(1) Technology-Related Supplies</v>
      </c>
      <c r="L543" s="668">
        <v>126</v>
      </c>
      <c r="M543" s="669">
        <v>117</v>
      </c>
      <c r="N543" s="668"/>
      <c r="O543" s="668">
        <v>10</v>
      </c>
      <c r="P543" s="668" t="str">
        <f>IFERROR(VLOOKUP(F543, [2]MOE!B:C, 2, FALSE), "No")</f>
        <v>No</v>
      </c>
      <c r="Q543" s="711" t="s">
        <v>1045</v>
      </c>
      <c r="S543" s="670" t="s">
        <v>932</v>
      </c>
      <c r="T543" s="668" t="s">
        <v>1043</v>
      </c>
    </row>
    <row r="544" spans="1:20">
      <c r="A544" s="679">
        <v>6101450</v>
      </c>
      <c r="B544" s="677"/>
      <c r="C544" s="672"/>
      <c r="D544" s="672"/>
      <c r="E544" s="676" t="s">
        <v>1141</v>
      </c>
      <c r="F544" s="680" t="s">
        <v>1444</v>
      </c>
      <c r="G544" s="710">
        <v>610</v>
      </c>
      <c r="H544" s="682">
        <v>1450</v>
      </c>
      <c r="J544" s="668" t="str">
        <f t="shared" si="83"/>
        <v>(2) Materials and Supplies</v>
      </c>
      <c r="L544" s="668">
        <v>122</v>
      </c>
      <c r="M544" s="669">
        <v>113</v>
      </c>
      <c r="N544" s="668"/>
      <c r="O544" s="668">
        <v>10</v>
      </c>
      <c r="P544" s="668" t="str">
        <f>IFERROR(VLOOKUP(F544, [2]MOE!B:C, 2, FALSE), "No")</f>
        <v>No</v>
      </c>
      <c r="Q544" s="711" t="s">
        <v>1045</v>
      </c>
      <c r="S544" s="670" t="s">
        <v>932</v>
      </c>
      <c r="T544" s="668" t="s">
        <v>39</v>
      </c>
    </row>
    <row r="545" spans="1:20">
      <c r="A545" s="679">
        <v>6421450</v>
      </c>
      <c r="B545" s="677"/>
      <c r="C545" s="672"/>
      <c r="D545" s="672"/>
      <c r="E545" s="676" t="s">
        <v>1143</v>
      </c>
      <c r="F545" s="680" t="s">
        <v>1445</v>
      </c>
      <c r="G545" s="710">
        <v>642</v>
      </c>
      <c r="H545" s="682">
        <v>1450</v>
      </c>
      <c r="J545" s="668" t="str">
        <f t="shared" si="83"/>
        <v>(3) Textbooks/Workbooks</v>
      </c>
      <c r="L545" s="668">
        <v>125</v>
      </c>
      <c r="M545" s="669">
        <v>116</v>
      </c>
      <c r="N545" s="668"/>
      <c r="O545" s="668">
        <v>10</v>
      </c>
      <c r="P545" s="668" t="str">
        <f>IFERROR(VLOOKUP(F545, [2]MOE!B:C, 2, FALSE), "No")</f>
        <v>No</v>
      </c>
      <c r="Q545" s="711" t="s">
        <v>1045</v>
      </c>
      <c r="S545" s="670" t="s">
        <v>932</v>
      </c>
      <c r="T545" s="668" t="s">
        <v>1048</v>
      </c>
    </row>
    <row r="546" spans="1:20">
      <c r="A546" s="679">
        <v>6001450</v>
      </c>
      <c r="B546" s="677"/>
      <c r="C546" s="672"/>
      <c r="D546" s="672"/>
      <c r="E546" s="676" t="s">
        <v>1145</v>
      </c>
      <c r="F546" s="680" t="s">
        <v>1446</v>
      </c>
      <c r="G546" s="710">
        <v>600</v>
      </c>
      <c r="H546" s="682">
        <v>1450</v>
      </c>
      <c r="J546" s="668" t="str">
        <f t="shared" si="83"/>
        <v>(4) Other Supplies</v>
      </c>
      <c r="L546" s="668">
        <v>126</v>
      </c>
      <c r="M546" s="669">
        <v>117</v>
      </c>
      <c r="N546" s="668"/>
      <c r="O546" s="668">
        <v>10</v>
      </c>
      <c r="P546" s="668" t="str">
        <f>IFERROR(VLOOKUP(F546, [2]MOE!B:C, 2, FALSE), "No")</f>
        <v>No</v>
      </c>
      <c r="Q546" s="711"/>
      <c r="S546" s="670" t="s">
        <v>932</v>
      </c>
      <c r="T546" s="668" t="s">
        <v>1050</v>
      </c>
    </row>
    <row r="547" spans="1:20">
      <c r="A547" s="671"/>
      <c r="B547" s="677"/>
      <c r="C547" s="672"/>
      <c r="D547" s="672" t="s">
        <v>853</v>
      </c>
      <c r="E547" s="676" t="s">
        <v>1052</v>
      </c>
      <c r="F547" s="675"/>
      <c r="G547" s="672"/>
      <c r="H547" s="676"/>
      <c r="Q547" s="711"/>
      <c r="S547" s="670"/>
    </row>
    <row r="548" spans="1:20">
      <c r="A548" s="679">
        <v>7341450</v>
      </c>
      <c r="B548" s="677"/>
      <c r="C548" s="672"/>
      <c r="D548" s="672"/>
      <c r="E548" s="676" t="s">
        <v>1147</v>
      </c>
      <c r="F548" s="680" t="s">
        <v>1447</v>
      </c>
      <c r="G548" s="710">
        <v>734</v>
      </c>
      <c r="H548" s="682">
        <v>1450</v>
      </c>
      <c r="J548" s="668" t="str">
        <f t="shared" ref="J548:J551" si="84">E548</f>
        <v>(1) Technology-Related Hardware</v>
      </c>
      <c r="L548" s="668">
        <v>131</v>
      </c>
      <c r="M548" s="669">
        <v>122</v>
      </c>
      <c r="N548" s="668"/>
      <c r="O548" s="668">
        <v>10</v>
      </c>
      <c r="P548" s="668" t="str">
        <f>IFERROR(VLOOKUP(F548, [2]MOE!B:C, 2, FALSE), "No")</f>
        <v>No</v>
      </c>
      <c r="Q548" s="711"/>
      <c r="S548" s="670" t="s">
        <v>932</v>
      </c>
      <c r="T548" s="668" t="s">
        <v>1053</v>
      </c>
    </row>
    <row r="549" spans="1:20">
      <c r="A549" s="679">
        <v>7351450</v>
      </c>
      <c r="B549" s="677"/>
      <c r="C549" s="672"/>
      <c r="D549" s="672"/>
      <c r="E549" s="676" t="s">
        <v>1149</v>
      </c>
      <c r="F549" s="680" t="s">
        <v>1448</v>
      </c>
      <c r="G549" s="710">
        <v>735</v>
      </c>
      <c r="H549" s="682">
        <v>1450</v>
      </c>
      <c r="J549" s="668" t="str">
        <f t="shared" si="84"/>
        <v>(2) Technology Software</v>
      </c>
      <c r="L549" s="668">
        <v>131</v>
      </c>
      <c r="M549" s="669">
        <v>122</v>
      </c>
      <c r="N549" s="668"/>
      <c r="O549" s="668">
        <v>10</v>
      </c>
      <c r="P549" s="668" t="str">
        <f>IFERROR(VLOOKUP(F549, [2]MOE!B:C, 2, FALSE), "No")</f>
        <v>No</v>
      </c>
      <c r="Q549" s="711"/>
      <c r="S549" s="670" t="s">
        <v>932</v>
      </c>
      <c r="T549" s="668" t="s">
        <v>1055</v>
      </c>
    </row>
    <row r="550" spans="1:20">
      <c r="A550" s="679">
        <v>7301450</v>
      </c>
      <c r="B550" s="677"/>
      <c r="C550" s="672"/>
      <c r="D550" s="672"/>
      <c r="E550" s="676" t="s">
        <v>1151</v>
      </c>
      <c r="F550" s="680" t="s">
        <v>1449</v>
      </c>
      <c r="G550" s="710">
        <v>730</v>
      </c>
      <c r="H550" s="682">
        <v>1450</v>
      </c>
      <c r="J550" s="668" t="str">
        <f t="shared" si="84"/>
        <v>(3) All Other Equipment</v>
      </c>
      <c r="L550" s="668">
        <v>131</v>
      </c>
      <c r="M550" s="669">
        <v>122</v>
      </c>
      <c r="N550" s="668"/>
      <c r="O550" s="668">
        <v>10</v>
      </c>
      <c r="P550" s="668" t="str">
        <f>IFERROR(VLOOKUP(F550, [2]MOE!B:C, 2, FALSE), "No")</f>
        <v>No</v>
      </c>
      <c r="Q550" s="711"/>
      <c r="S550" s="670" t="s">
        <v>932</v>
      </c>
      <c r="T550" s="668" t="s">
        <v>1057</v>
      </c>
    </row>
    <row r="551" spans="1:20">
      <c r="A551" s="679">
        <v>7001450</v>
      </c>
      <c r="B551" s="677"/>
      <c r="C551" s="672"/>
      <c r="D551" s="672"/>
      <c r="E551" s="676" t="s">
        <v>1153</v>
      </c>
      <c r="F551" s="680" t="s">
        <v>1450</v>
      </c>
      <c r="G551" s="710">
        <v>700</v>
      </c>
      <c r="H551" s="682">
        <v>1450</v>
      </c>
      <c r="J551" s="668" t="str">
        <f t="shared" si="84"/>
        <v>(4) Other Property</v>
      </c>
      <c r="L551" s="668">
        <v>132</v>
      </c>
      <c r="M551" s="669">
        <v>123</v>
      </c>
      <c r="N551" s="668"/>
      <c r="O551" s="668">
        <v>10</v>
      </c>
      <c r="P551" s="668" t="str">
        <f>IFERROR(VLOOKUP(F551, [2]MOE!B:C, 2, FALSE), "No")</f>
        <v>No</v>
      </c>
      <c r="Q551" s="711"/>
      <c r="S551" s="670" t="s">
        <v>932</v>
      </c>
      <c r="T551" s="668" t="s">
        <v>1059</v>
      </c>
    </row>
    <row r="552" spans="1:20">
      <c r="A552" s="671"/>
      <c r="B552" s="677"/>
      <c r="C552" s="672"/>
      <c r="D552" s="672" t="s">
        <v>856</v>
      </c>
      <c r="E552" s="676" t="s">
        <v>256</v>
      </c>
      <c r="F552" s="675"/>
      <c r="G552" s="672"/>
      <c r="H552" s="676"/>
      <c r="Q552" s="711"/>
      <c r="S552" s="670"/>
    </row>
    <row r="553" spans="1:20">
      <c r="A553" s="679">
        <v>8951450</v>
      </c>
      <c r="B553" s="677"/>
      <c r="C553" s="672"/>
      <c r="D553" s="672"/>
      <c r="E553" s="676" t="s">
        <v>1155</v>
      </c>
      <c r="F553" s="680" t="s">
        <v>1451</v>
      </c>
      <c r="G553" s="710">
        <v>895</v>
      </c>
      <c r="H553" s="682">
        <v>1450</v>
      </c>
      <c r="J553" s="668" t="str">
        <f t="shared" ref="J553:J554" si="85">E553</f>
        <v>(1) Miscellaneous Non-Public Expenditures</v>
      </c>
      <c r="L553" s="668">
        <v>139</v>
      </c>
      <c r="M553" s="669">
        <v>129</v>
      </c>
      <c r="N553" s="668"/>
      <c r="O553" s="668">
        <v>10</v>
      </c>
      <c r="P553" s="668" t="str">
        <f>IFERROR(VLOOKUP(F553, [2]MOE!B:C, 2, FALSE), "No")</f>
        <v>No</v>
      </c>
      <c r="Q553" s="711"/>
      <c r="S553" s="670" t="s">
        <v>932</v>
      </c>
      <c r="T553" s="668" t="s">
        <v>1061</v>
      </c>
    </row>
    <row r="554" spans="1:20">
      <c r="A554" s="679">
        <v>8001450</v>
      </c>
      <c r="B554" s="677"/>
      <c r="C554" s="672"/>
      <c r="D554" s="672"/>
      <c r="E554" s="676" t="s">
        <v>1157</v>
      </c>
      <c r="F554" s="680" t="s">
        <v>1452</v>
      </c>
      <c r="G554" s="710">
        <v>800</v>
      </c>
      <c r="H554" s="682">
        <v>1450</v>
      </c>
      <c r="J554" s="668" t="str">
        <f t="shared" si="85"/>
        <v>(2) Other Miscellaneous Expenditures</v>
      </c>
      <c r="L554" s="668">
        <v>139</v>
      </c>
      <c r="M554" s="669">
        <v>129</v>
      </c>
      <c r="N554" s="668"/>
      <c r="O554" s="668">
        <v>10</v>
      </c>
      <c r="P554" s="668" t="str">
        <f>IFERROR(VLOOKUP(F554, [2]MOE!B:C, 2, FALSE), "No")</f>
        <v>No</v>
      </c>
      <c r="Q554" s="711"/>
      <c r="S554" s="670" t="s">
        <v>932</v>
      </c>
      <c r="T554" s="668" t="s">
        <v>1063</v>
      </c>
    </row>
    <row r="555" spans="1:20">
      <c r="A555" s="671"/>
      <c r="B555" s="677"/>
      <c r="C555" s="672"/>
      <c r="D555" s="672" t="s">
        <v>859</v>
      </c>
      <c r="E555" s="676" t="s">
        <v>1065</v>
      </c>
      <c r="F555" s="675"/>
      <c r="G555" s="672"/>
      <c r="H555" s="676"/>
      <c r="Q555" s="711"/>
      <c r="S555" s="670"/>
    </row>
    <row r="556" spans="1:20">
      <c r="A556" s="679">
        <v>2101450</v>
      </c>
      <c r="B556" s="677"/>
      <c r="C556" s="672"/>
      <c r="D556" s="672"/>
      <c r="E556" s="676" t="s">
        <v>1159</v>
      </c>
      <c r="F556" s="680" t="s">
        <v>1453</v>
      </c>
      <c r="G556" s="710">
        <v>210</v>
      </c>
      <c r="H556" s="682">
        <v>1450</v>
      </c>
      <c r="J556" s="668" t="str">
        <f t="shared" ref="J556:J558" si="86">E556</f>
        <v>(1) Group Insurance</v>
      </c>
      <c r="L556" s="668">
        <v>89</v>
      </c>
      <c r="M556" s="669">
        <v>84</v>
      </c>
      <c r="N556" s="668"/>
      <c r="O556" s="668">
        <v>10</v>
      </c>
      <c r="P556" s="668" t="str">
        <f>IFERROR(VLOOKUP(F556, [2]MOE!B:C, 2, FALSE), "No")</f>
        <v>No</v>
      </c>
      <c r="Q556" s="711" t="s">
        <v>1004</v>
      </c>
      <c r="S556" s="670" t="s">
        <v>932</v>
      </c>
      <c r="T556" s="668" t="s">
        <v>1066</v>
      </c>
    </row>
    <row r="557" spans="1:20">
      <c r="A557" s="679">
        <v>2201450</v>
      </c>
      <c r="B557" s="677"/>
      <c r="C557" s="672"/>
      <c r="D557" s="672"/>
      <c r="E557" s="676" t="s">
        <v>1161</v>
      </c>
      <c r="F557" s="680" t="s">
        <v>1454</v>
      </c>
      <c r="G557" s="710">
        <v>220</v>
      </c>
      <c r="H557" s="682">
        <v>1450</v>
      </c>
      <c r="J557" s="668" t="str">
        <f t="shared" si="86"/>
        <v>(2) FICA</v>
      </c>
      <c r="L557" s="668">
        <v>90</v>
      </c>
      <c r="M557" s="669">
        <v>85</v>
      </c>
      <c r="N557" s="668"/>
      <c r="O557" s="668">
        <v>10</v>
      </c>
      <c r="P557" s="668" t="str">
        <f>IFERROR(VLOOKUP(F557, [2]MOE!B:C, 2, FALSE), "No")</f>
        <v>No</v>
      </c>
      <c r="Q557" s="711" t="s">
        <v>1004</v>
      </c>
      <c r="S557" s="670" t="s">
        <v>932</v>
      </c>
      <c r="T557" s="668" t="s">
        <v>1068</v>
      </c>
    </row>
    <row r="558" spans="1:20">
      <c r="A558" s="679">
        <v>2251450</v>
      </c>
      <c r="B558" s="677"/>
      <c r="C558" s="672"/>
      <c r="D558" s="672"/>
      <c r="E558" s="676" t="s">
        <v>1163</v>
      </c>
      <c r="F558" s="680" t="s">
        <v>1455</v>
      </c>
      <c r="G558" s="710">
        <v>225</v>
      </c>
      <c r="H558" s="682">
        <v>1450</v>
      </c>
      <c r="J558" s="668" t="str">
        <f t="shared" si="86"/>
        <v>(3) Medicare</v>
      </c>
      <c r="L558" s="668">
        <v>91</v>
      </c>
      <c r="M558" s="669">
        <v>86</v>
      </c>
      <c r="N558" s="668"/>
      <c r="O558" s="668">
        <v>10</v>
      </c>
      <c r="P558" s="668" t="str">
        <f>IFERROR(VLOOKUP(F558, [2]MOE!B:C, 2, FALSE), "No")</f>
        <v>No</v>
      </c>
      <c r="Q558" s="711" t="s">
        <v>1004</v>
      </c>
      <c r="S558" s="670" t="s">
        <v>932</v>
      </c>
      <c r="T558" s="668" t="s">
        <v>23</v>
      </c>
    </row>
    <row r="559" spans="1:20">
      <c r="A559" s="671"/>
      <c r="B559" s="677"/>
      <c r="C559" s="672"/>
      <c r="D559" s="672"/>
      <c r="E559" s="676" t="s">
        <v>1165</v>
      </c>
      <c r="F559" s="675"/>
      <c r="G559" s="672"/>
      <c r="H559" s="676"/>
      <c r="Q559" s="711"/>
      <c r="S559" s="670"/>
    </row>
    <row r="560" spans="1:20">
      <c r="A560" s="679">
        <v>2311450</v>
      </c>
      <c r="B560" s="677"/>
      <c r="C560" s="672"/>
      <c r="D560" s="672"/>
      <c r="E560" s="676" t="s">
        <v>1166</v>
      </c>
      <c r="F560" s="680" t="s">
        <v>1456</v>
      </c>
      <c r="G560" s="710">
        <v>231</v>
      </c>
      <c r="H560" s="682">
        <v>1450</v>
      </c>
      <c r="J560" s="668" t="str">
        <f t="shared" ref="J560:J568" si="87">E560</f>
        <v>(a) Louisiana Teachers Retirement</v>
      </c>
      <c r="L560" s="668">
        <v>92</v>
      </c>
      <c r="M560" s="669">
        <v>87</v>
      </c>
      <c r="N560" s="668"/>
      <c r="O560" s="668">
        <v>10</v>
      </c>
      <c r="P560" s="668" t="str">
        <f>IFERROR(VLOOKUP(F560, [2]MOE!B:C, 2, FALSE), "No")</f>
        <v>No</v>
      </c>
      <c r="Q560" s="711" t="s">
        <v>1004</v>
      </c>
      <c r="S560" s="670" t="s">
        <v>932</v>
      </c>
      <c r="T560" s="668" t="s">
        <v>1074</v>
      </c>
    </row>
    <row r="561" spans="1:20">
      <c r="A561" s="679">
        <v>2331450</v>
      </c>
      <c r="B561" s="677"/>
      <c r="C561" s="672"/>
      <c r="D561" s="672"/>
      <c r="E561" s="676" t="s">
        <v>1168</v>
      </c>
      <c r="F561" s="680" t="s">
        <v>1457</v>
      </c>
      <c r="G561" s="710">
        <v>233</v>
      </c>
      <c r="H561" s="682">
        <v>1450</v>
      </c>
      <c r="J561" s="668" t="str">
        <f t="shared" si="87"/>
        <v>(b) Louisiana School Emp. Retirement</v>
      </c>
      <c r="L561" s="668">
        <v>92</v>
      </c>
      <c r="M561" s="669">
        <v>87</v>
      </c>
      <c r="N561" s="668"/>
      <c r="O561" s="668">
        <v>10</v>
      </c>
      <c r="P561" s="668" t="str">
        <f>IFERROR(VLOOKUP(F561, [2]MOE!B:C, 2, FALSE), "No")</f>
        <v>No</v>
      </c>
      <c r="Q561" s="711" t="s">
        <v>1004</v>
      </c>
      <c r="S561" s="670" t="s">
        <v>932</v>
      </c>
      <c r="T561" s="668" t="s">
        <v>1170</v>
      </c>
    </row>
    <row r="562" spans="1:20">
      <c r="A562" s="679">
        <v>2391450</v>
      </c>
      <c r="B562" s="677"/>
      <c r="C562" s="672"/>
      <c r="D562" s="672"/>
      <c r="E562" s="676" t="s">
        <v>1171</v>
      </c>
      <c r="F562" s="680" t="s">
        <v>1458</v>
      </c>
      <c r="G562" s="710">
        <v>239</v>
      </c>
      <c r="H562" s="682">
        <v>1450</v>
      </c>
      <c r="J562" s="668" t="str">
        <f t="shared" si="87"/>
        <v>(c) Other Retirement</v>
      </c>
      <c r="L562" s="668">
        <v>92</v>
      </c>
      <c r="M562" s="669">
        <v>87</v>
      </c>
      <c r="N562" s="668"/>
      <c r="O562" s="668">
        <v>10</v>
      </c>
      <c r="P562" s="668" t="str">
        <f>IFERROR(VLOOKUP(F562, [2]MOE!B:C, 2, FALSE), "No")</f>
        <v>No</v>
      </c>
      <c r="Q562" s="711" t="s">
        <v>1004</v>
      </c>
      <c r="S562" s="670" t="s">
        <v>932</v>
      </c>
      <c r="T562" s="668" t="s">
        <v>1080</v>
      </c>
    </row>
    <row r="563" spans="1:20">
      <c r="A563" s="679">
        <v>2501450</v>
      </c>
      <c r="B563" s="677"/>
      <c r="C563" s="672"/>
      <c r="D563" s="672"/>
      <c r="E563" s="676" t="s">
        <v>1173</v>
      </c>
      <c r="F563" s="680" t="s">
        <v>1459</v>
      </c>
      <c r="G563" s="710">
        <v>250</v>
      </c>
      <c r="H563" s="682">
        <v>1450</v>
      </c>
      <c r="J563" s="668" t="str">
        <f t="shared" si="87"/>
        <v>(5) Unemployment Compensation</v>
      </c>
      <c r="L563" s="668">
        <v>93</v>
      </c>
      <c r="M563" s="669">
        <v>88</v>
      </c>
      <c r="N563" s="668"/>
      <c r="O563" s="668">
        <v>10</v>
      </c>
      <c r="P563" s="668" t="str">
        <f>IFERROR(VLOOKUP(F563, [2]MOE!B:C, 2, FALSE), "No")</f>
        <v>No</v>
      </c>
      <c r="Q563" s="711" t="s">
        <v>1004</v>
      </c>
      <c r="S563" s="670" t="s">
        <v>932</v>
      </c>
      <c r="T563" s="668" t="s">
        <v>1081</v>
      </c>
    </row>
    <row r="564" spans="1:20">
      <c r="A564" s="679">
        <v>2601450</v>
      </c>
      <c r="B564" s="677"/>
      <c r="C564" s="672"/>
      <c r="D564" s="672"/>
      <c r="E564" s="676" t="s">
        <v>1175</v>
      </c>
      <c r="F564" s="680" t="s">
        <v>1460</v>
      </c>
      <c r="G564" s="710">
        <v>260</v>
      </c>
      <c r="H564" s="682">
        <v>1450</v>
      </c>
      <c r="J564" s="668" t="str">
        <f t="shared" si="87"/>
        <v>(6) Workmen's Compensation</v>
      </c>
      <c r="L564" s="668">
        <v>95</v>
      </c>
      <c r="M564" s="669">
        <v>90</v>
      </c>
      <c r="N564" s="668"/>
      <c r="O564" s="668">
        <v>10</v>
      </c>
      <c r="P564" s="668" t="str">
        <f>IFERROR(VLOOKUP(F564, [2]MOE!B:C, 2, FALSE), "No")</f>
        <v>No</v>
      </c>
      <c r="Q564" s="711" t="s">
        <v>1004</v>
      </c>
      <c r="S564" s="670" t="s">
        <v>932</v>
      </c>
      <c r="T564" s="668" t="s">
        <v>1083</v>
      </c>
    </row>
    <row r="565" spans="1:20">
      <c r="A565" s="679">
        <v>2701450</v>
      </c>
      <c r="B565" s="677"/>
      <c r="C565" s="672"/>
      <c r="D565" s="672"/>
      <c r="E565" s="676" t="s">
        <v>1177</v>
      </c>
      <c r="F565" s="680" t="s">
        <v>1461</v>
      </c>
      <c r="G565" s="710">
        <v>270</v>
      </c>
      <c r="H565" s="682">
        <v>1450</v>
      </c>
      <c r="J565" s="668" t="str">
        <f t="shared" si="87"/>
        <v>(7) Health Benefits (retirees)</v>
      </c>
      <c r="L565" s="668">
        <v>94</v>
      </c>
      <c r="M565" s="669">
        <v>89</v>
      </c>
      <c r="N565" s="668"/>
      <c r="O565" s="668">
        <v>10</v>
      </c>
      <c r="P565" s="668" t="str">
        <f>IFERROR(VLOOKUP(F565, [2]MOE!B:C, 2, FALSE), "No")</f>
        <v>No</v>
      </c>
      <c r="Q565" s="711" t="s">
        <v>1004</v>
      </c>
      <c r="S565" s="670" t="s">
        <v>932</v>
      </c>
      <c r="T565" s="668" t="s">
        <v>1085</v>
      </c>
    </row>
    <row r="566" spans="1:20">
      <c r="A566" s="679">
        <v>2811450</v>
      </c>
      <c r="B566" s="677"/>
      <c r="C566" s="672"/>
      <c r="D566" s="672"/>
      <c r="E566" s="676" t="s">
        <v>1179</v>
      </c>
      <c r="F566" s="680" t="s">
        <v>1462</v>
      </c>
      <c r="G566" s="710">
        <v>281</v>
      </c>
      <c r="H566" s="682">
        <v>1450</v>
      </c>
      <c r="J566" s="668" t="str">
        <f t="shared" si="87"/>
        <v>(8) Sick Leave Severance Pay</v>
      </c>
      <c r="L566" s="668">
        <v>95</v>
      </c>
      <c r="M566" s="669">
        <v>90</v>
      </c>
      <c r="N566" s="668"/>
      <c r="O566" s="668">
        <v>10</v>
      </c>
      <c r="P566" s="668" t="str">
        <f>IFERROR(VLOOKUP(F566, [2]MOE!B:C, 2, FALSE), "No")</f>
        <v>No</v>
      </c>
      <c r="Q566" s="711" t="s">
        <v>1004</v>
      </c>
      <c r="S566" s="670" t="s">
        <v>932</v>
      </c>
      <c r="T566" s="668" t="s">
        <v>1087</v>
      </c>
    </row>
    <row r="567" spans="1:20">
      <c r="A567" s="679">
        <v>2821450</v>
      </c>
      <c r="B567" s="677"/>
      <c r="C567" s="672"/>
      <c r="D567" s="672"/>
      <c r="E567" s="676" t="s">
        <v>1181</v>
      </c>
      <c r="F567" s="680" t="s">
        <v>1463</v>
      </c>
      <c r="G567" s="710">
        <v>282</v>
      </c>
      <c r="H567" s="682">
        <v>1450</v>
      </c>
      <c r="J567" s="668" t="str">
        <f t="shared" si="87"/>
        <v>(9) Annual Leave Severance Pay</v>
      </c>
      <c r="L567" s="668">
        <v>95</v>
      </c>
      <c r="M567" s="669">
        <v>90</v>
      </c>
      <c r="N567" s="668"/>
      <c r="O567" s="668">
        <v>10</v>
      </c>
      <c r="P567" s="668" t="str">
        <f>IFERROR(VLOOKUP(F567, [2]MOE!B:C, 2, FALSE), "No")</f>
        <v>No</v>
      </c>
      <c r="Q567" s="711" t="s">
        <v>1004</v>
      </c>
      <c r="S567" s="670" t="s">
        <v>932</v>
      </c>
      <c r="T567" s="668" t="s">
        <v>1089</v>
      </c>
    </row>
    <row r="568" spans="1:20">
      <c r="A568" s="679">
        <v>2901450</v>
      </c>
      <c r="B568" s="677"/>
      <c r="C568" s="672"/>
      <c r="D568" s="672"/>
      <c r="E568" s="676" t="s">
        <v>1183</v>
      </c>
      <c r="F568" s="680" t="s">
        <v>1464</v>
      </c>
      <c r="G568" s="710">
        <v>290</v>
      </c>
      <c r="H568" s="682">
        <v>1450</v>
      </c>
      <c r="J568" s="668" t="str">
        <f t="shared" si="87"/>
        <v>(10) Other Employee Benefits</v>
      </c>
      <c r="L568" s="668">
        <v>95</v>
      </c>
      <c r="M568" s="669">
        <v>90</v>
      </c>
      <c r="N568" s="668"/>
      <c r="O568" s="668">
        <v>10</v>
      </c>
      <c r="P568" s="668" t="str">
        <f>IFERROR(VLOOKUP(F568, [2]MOE!B:C, 2, FALSE), "No")</f>
        <v>No</v>
      </c>
      <c r="Q568" s="711" t="s">
        <v>1004</v>
      </c>
      <c r="S568" s="670" t="s">
        <v>932</v>
      </c>
      <c r="T568" s="668" t="s">
        <v>1092</v>
      </c>
    </row>
    <row r="569" spans="1:20">
      <c r="A569" s="671"/>
      <c r="B569" s="677"/>
      <c r="C569" s="678">
        <v>23</v>
      </c>
      <c r="D569" s="927" t="s">
        <v>1465</v>
      </c>
      <c r="E569" s="926"/>
      <c r="F569" s="675"/>
      <c r="G569" s="672"/>
      <c r="H569" s="676"/>
      <c r="Q569" s="711"/>
      <c r="S569" s="670"/>
    </row>
    <row r="570" spans="1:20">
      <c r="A570" s="671"/>
      <c r="B570" s="677"/>
      <c r="C570" s="672"/>
      <c r="D570" s="672" t="s">
        <v>759</v>
      </c>
      <c r="E570" s="676" t="s">
        <v>244</v>
      </c>
      <c r="F570" s="675"/>
      <c r="G570" s="672"/>
      <c r="H570" s="676"/>
      <c r="Q570" s="711"/>
      <c r="S570" s="670"/>
    </row>
    <row r="571" spans="1:20">
      <c r="A571" s="679">
        <v>1121460</v>
      </c>
      <c r="B571" s="677"/>
      <c r="C571" s="672"/>
      <c r="D571" s="672"/>
      <c r="E571" s="676" t="s">
        <v>1098</v>
      </c>
      <c r="F571" s="680" t="s">
        <v>1466</v>
      </c>
      <c r="G571" s="710">
        <v>112</v>
      </c>
      <c r="H571" s="682">
        <v>1460</v>
      </c>
      <c r="J571" s="668" t="str">
        <f t="shared" ref="J571:J577" si="88">E571</f>
        <v>(1) Teachers</v>
      </c>
      <c r="L571" s="668">
        <v>82</v>
      </c>
      <c r="M571" s="669">
        <v>77</v>
      </c>
      <c r="N571" s="668"/>
      <c r="O571" s="668">
        <v>10</v>
      </c>
      <c r="P571" s="668" t="str">
        <f>IFERROR(VLOOKUP(F571, [2]MOE!B:C, 2, FALSE), "No")</f>
        <v>No</v>
      </c>
      <c r="Q571" s="711" t="s">
        <v>1004</v>
      </c>
      <c r="S571" s="670" t="s">
        <v>1467</v>
      </c>
      <c r="T571" s="668" t="s">
        <v>5</v>
      </c>
    </row>
    <row r="572" spans="1:20">
      <c r="A572" s="679">
        <v>1151460</v>
      </c>
      <c r="B572" s="677"/>
      <c r="C572" s="672"/>
      <c r="D572" s="672"/>
      <c r="E572" s="676" t="s">
        <v>1100</v>
      </c>
      <c r="F572" s="680" t="s">
        <v>1468</v>
      </c>
      <c r="G572" s="710">
        <v>115</v>
      </c>
      <c r="H572" s="682">
        <v>1460</v>
      </c>
      <c r="J572" s="668" t="str">
        <f t="shared" si="88"/>
        <v>(2) Para-professionals (Aides)</v>
      </c>
      <c r="L572" s="668">
        <v>86</v>
      </c>
      <c r="M572" s="669">
        <v>81</v>
      </c>
      <c r="N572" s="668"/>
      <c r="O572" s="668">
        <v>10</v>
      </c>
      <c r="P572" s="668" t="str">
        <f>IFERROR(VLOOKUP(F572, [2]MOE!B:C, 2, FALSE), "No")</f>
        <v>No</v>
      </c>
      <c r="Q572" s="711" t="s">
        <v>1004</v>
      </c>
      <c r="S572" s="670" t="s">
        <v>1467</v>
      </c>
      <c r="T572" s="668" t="s">
        <v>1102</v>
      </c>
    </row>
    <row r="573" spans="1:20">
      <c r="A573" s="679">
        <v>1231460</v>
      </c>
      <c r="B573" s="677"/>
      <c r="C573" s="672"/>
      <c r="D573" s="672"/>
      <c r="E573" s="676" t="s">
        <v>1103</v>
      </c>
      <c r="F573" s="680" t="s">
        <v>1469</v>
      </c>
      <c r="G573" s="710">
        <v>123</v>
      </c>
      <c r="H573" s="682">
        <v>1460</v>
      </c>
      <c r="J573" s="668" t="str">
        <f t="shared" si="88"/>
        <v>(3) Substitute Teachers</v>
      </c>
      <c r="L573" s="668">
        <v>86</v>
      </c>
      <c r="M573" s="669">
        <v>81</v>
      </c>
      <c r="N573" s="668"/>
      <c r="O573" s="668">
        <v>10</v>
      </c>
      <c r="P573" s="668" t="str">
        <f>IFERROR(VLOOKUP(F573, [2]MOE!B:C, 2, FALSE), "No")</f>
        <v>No</v>
      </c>
      <c r="Q573" s="711" t="s">
        <v>1004</v>
      </c>
      <c r="S573" s="670" t="s">
        <v>1467</v>
      </c>
      <c r="T573" s="668" t="s">
        <v>1105</v>
      </c>
    </row>
    <row r="574" spans="1:20">
      <c r="A574" s="679">
        <v>1201460</v>
      </c>
      <c r="B574" s="677"/>
      <c r="C574" s="672"/>
      <c r="D574" s="672"/>
      <c r="E574" s="676" t="s">
        <v>1106</v>
      </c>
      <c r="F574" s="680" t="s">
        <v>1470</v>
      </c>
      <c r="G574" s="710">
        <v>120</v>
      </c>
      <c r="H574" s="682">
        <v>1460</v>
      </c>
      <c r="J574" s="668" t="str">
        <f t="shared" si="88"/>
        <v>(4) Other Substitute/Temp. Employees</v>
      </c>
      <c r="L574" s="668">
        <v>86</v>
      </c>
      <c r="M574" s="669">
        <v>81</v>
      </c>
      <c r="N574" s="668"/>
      <c r="O574" s="668">
        <v>10</v>
      </c>
      <c r="P574" s="668" t="str">
        <f>IFERROR(VLOOKUP(F574, [2]MOE!B:C, 2, FALSE), "No")</f>
        <v>No</v>
      </c>
      <c r="Q574" s="711" t="s">
        <v>1004</v>
      </c>
      <c r="S574" s="670" t="s">
        <v>1467</v>
      </c>
      <c r="T574" s="668" t="s">
        <v>1108</v>
      </c>
    </row>
    <row r="575" spans="1:20">
      <c r="A575" s="679">
        <v>1001460</v>
      </c>
      <c r="B575" s="677"/>
      <c r="C575" s="672"/>
      <c r="D575" s="672"/>
      <c r="E575" s="676" t="s">
        <v>1109</v>
      </c>
      <c r="F575" s="680" t="s">
        <v>1471</v>
      </c>
      <c r="G575" s="710">
        <v>100</v>
      </c>
      <c r="H575" s="682">
        <v>1460</v>
      </c>
      <c r="J575" s="668" t="str">
        <f t="shared" si="88"/>
        <v>(5) Other Instructional Salaries</v>
      </c>
      <c r="L575" s="668">
        <v>86</v>
      </c>
      <c r="M575" s="669">
        <v>81</v>
      </c>
      <c r="N575" s="668"/>
      <c r="O575" s="668">
        <v>10</v>
      </c>
      <c r="P575" s="668" t="str">
        <f>IFERROR(VLOOKUP(F575, [2]MOE!B:C, 2, FALSE), "No")</f>
        <v>No</v>
      </c>
      <c r="Q575" s="711" t="s">
        <v>1004</v>
      </c>
      <c r="S575" s="670" t="s">
        <v>1467</v>
      </c>
      <c r="T575" s="668" t="s">
        <v>1017</v>
      </c>
    </row>
    <row r="576" spans="1:20">
      <c r="A576" s="679">
        <v>1401460</v>
      </c>
      <c r="B576" s="677"/>
      <c r="C576" s="672"/>
      <c r="D576" s="672"/>
      <c r="E576" s="676" t="s">
        <v>1111</v>
      </c>
      <c r="F576" s="680" t="s">
        <v>1472</v>
      </c>
      <c r="G576" s="710">
        <v>140</v>
      </c>
      <c r="H576" s="682">
        <v>1460</v>
      </c>
      <c r="J576" s="668" t="str">
        <f t="shared" si="88"/>
        <v>(6) Sabbatical Leave</v>
      </c>
      <c r="L576" s="668">
        <v>86</v>
      </c>
      <c r="M576" s="669">
        <v>81</v>
      </c>
      <c r="N576" s="668"/>
      <c r="O576" s="668">
        <v>10</v>
      </c>
      <c r="P576" s="668" t="str">
        <f>IFERROR(VLOOKUP(F576, [2]MOE!B:C, 2, FALSE), "No")</f>
        <v>No</v>
      </c>
      <c r="Q576" s="711" t="s">
        <v>1004</v>
      </c>
      <c r="S576" s="670" t="s">
        <v>1467</v>
      </c>
      <c r="T576" s="668" t="s">
        <v>1019</v>
      </c>
    </row>
    <row r="577" spans="1:20">
      <c r="A577" s="679">
        <v>3001460</v>
      </c>
      <c r="B577" s="677"/>
      <c r="C577" s="672"/>
      <c r="D577" s="672" t="s">
        <v>777</v>
      </c>
      <c r="E577" s="676" t="s">
        <v>1113</v>
      </c>
      <c r="F577" s="680" t="s">
        <v>1473</v>
      </c>
      <c r="G577" s="710">
        <v>300</v>
      </c>
      <c r="H577" s="682">
        <v>1460</v>
      </c>
      <c r="J577" s="668" t="str">
        <f t="shared" si="88"/>
        <v>Purchased Professional and Technical Svcs</v>
      </c>
      <c r="L577" s="668">
        <v>101</v>
      </c>
      <c r="M577" s="669">
        <v>96</v>
      </c>
      <c r="N577" s="668"/>
      <c r="O577" s="668">
        <v>10</v>
      </c>
      <c r="P577" s="668" t="str">
        <f>IFERROR(VLOOKUP(F577, [2]MOE!B:C, 2, FALSE), "No")</f>
        <v>No</v>
      </c>
      <c r="Q577" s="711"/>
      <c r="S577" s="670" t="s">
        <v>1467</v>
      </c>
      <c r="T577" s="668" t="s">
        <v>1113</v>
      </c>
    </row>
    <row r="578" spans="1:20">
      <c r="A578" s="671"/>
      <c r="B578" s="677"/>
      <c r="C578" s="672"/>
      <c r="D578" s="672" t="s">
        <v>801</v>
      </c>
      <c r="E578" s="676" t="s">
        <v>250</v>
      </c>
      <c r="F578" s="675"/>
      <c r="G578" s="672"/>
      <c r="H578" s="676"/>
      <c r="Q578" s="711"/>
      <c r="S578" s="670"/>
    </row>
    <row r="579" spans="1:20">
      <c r="A579" s="679">
        <v>4301460</v>
      </c>
      <c r="B579" s="677"/>
      <c r="C579" s="672"/>
      <c r="D579" s="672"/>
      <c r="E579" s="676" t="s">
        <v>1115</v>
      </c>
      <c r="F579" s="680" t="s">
        <v>1474</v>
      </c>
      <c r="G579" s="710">
        <v>430</v>
      </c>
      <c r="H579" s="682">
        <v>1460</v>
      </c>
      <c r="J579" s="668" t="str">
        <f t="shared" ref="J579:J581" si="89">E579</f>
        <v>(1) Repairs and Maintenance Services</v>
      </c>
      <c r="L579" s="668">
        <v>107</v>
      </c>
      <c r="M579" s="669">
        <v>102</v>
      </c>
      <c r="N579" s="668"/>
      <c r="O579" s="668">
        <v>10</v>
      </c>
      <c r="P579" s="668" t="str">
        <f>IFERROR(VLOOKUP(F579, [2]MOE!B:C, 2, FALSE), "No")</f>
        <v>No</v>
      </c>
      <c r="Q579" s="711"/>
      <c r="S579" s="670" t="s">
        <v>1467</v>
      </c>
      <c r="T579" s="668" t="s">
        <v>1023</v>
      </c>
    </row>
    <row r="580" spans="1:20">
      <c r="A580" s="679">
        <v>4421460</v>
      </c>
      <c r="B580" s="677"/>
      <c r="C580" s="672"/>
      <c r="D580" s="672"/>
      <c r="E580" s="676" t="s">
        <v>1117</v>
      </c>
      <c r="F580" s="680" t="s">
        <v>1475</v>
      </c>
      <c r="G580" s="710">
        <v>442</v>
      </c>
      <c r="H580" s="682">
        <v>1460</v>
      </c>
      <c r="J580" s="668" t="str">
        <f t="shared" si="89"/>
        <v>(2) Rental of Equipment</v>
      </c>
      <c r="L580" s="668">
        <v>106</v>
      </c>
      <c r="M580" s="669">
        <v>101</v>
      </c>
      <c r="N580" s="668"/>
      <c r="O580" s="668">
        <v>10</v>
      </c>
      <c r="P580" s="668" t="str">
        <f>IFERROR(VLOOKUP(F580, [2]MOE!B:C, 2, FALSE), "No")</f>
        <v>No</v>
      </c>
      <c r="Q580" s="711"/>
      <c r="S580" s="670" t="s">
        <v>1467</v>
      </c>
      <c r="T580" s="668" t="s">
        <v>1025</v>
      </c>
    </row>
    <row r="581" spans="1:20">
      <c r="A581" s="679">
        <v>4001460</v>
      </c>
      <c r="B581" s="677"/>
      <c r="C581" s="672"/>
      <c r="D581" s="672"/>
      <c r="E581" s="676" t="s">
        <v>1119</v>
      </c>
      <c r="F581" s="680" t="s">
        <v>1476</v>
      </c>
      <c r="G581" s="710">
        <v>400</v>
      </c>
      <c r="H581" s="682">
        <v>1460</v>
      </c>
      <c r="J581" s="668" t="str">
        <f t="shared" si="89"/>
        <v>(3) Other Purchased Property Services</v>
      </c>
      <c r="L581" s="668">
        <v>108</v>
      </c>
      <c r="M581" s="669">
        <v>103</v>
      </c>
      <c r="N581" s="668"/>
      <c r="O581" s="668">
        <v>10</v>
      </c>
      <c r="P581" s="668" t="str">
        <f>IFERROR(VLOOKUP(F581, [2]MOE!B:C, 2, FALSE), "No")</f>
        <v>No</v>
      </c>
      <c r="Q581" s="711"/>
      <c r="S581" s="670" t="s">
        <v>1467</v>
      </c>
      <c r="T581" s="668" t="s">
        <v>1027</v>
      </c>
    </row>
    <row r="582" spans="1:20">
      <c r="A582" s="671"/>
      <c r="B582" s="677"/>
      <c r="C582" s="672"/>
      <c r="D582" s="672" t="s">
        <v>805</v>
      </c>
      <c r="E582" s="676" t="s">
        <v>252</v>
      </c>
      <c r="F582" s="675"/>
      <c r="G582" s="672"/>
      <c r="H582" s="676"/>
      <c r="Q582" s="711"/>
      <c r="S582" s="670"/>
    </row>
    <row r="583" spans="1:20">
      <c r="A583" s="671"/>
      <c r="B583" s="677"/>
      <c r="C583" s="672"/>
      <c r="D583" s="672"/>
      <c r="E583" s="676" t="s">
        <v>1477</v>
      </c>
      <c r="F583" s="675"/>
      <c r="G583" s="672"/>
      <c r="H583" s="676"/>
      <c r="Q583" s="711"/>
      <c r="S583" s="670"/>
    </row>
    <row r="584" spans="1:20">
      <c r="A584" s="679">
        <v>5611460</v>
      </c>
      <c r="B584" s="677"/>
      <c r="C584" s="672"/>
      <c r="D584" s="672"/>
      <c r="E584" s="676" t="s">
        <v>1122</v>
      </c>
      <c r="F584" s="680" t="s">
        <v>1478</v>
      </c>
      <c r="G584" s="710">
        <v>561</v>
      </c>
      <c r="H584" s="682">
        <v>1460</v>
      </c>
      <c r="J584" s="668" t="str">
        <f t="shared" ref="J584:J588" si="90">E584</f>
        <v>(a) Paid to Other LEA (In-State)</v>
      </c>
      <c r="L584" s="668">
        <v>119</v>
      </c>
      <c r="M584" s="669">
        <v>110</v>
      </c>
      <c r="N584" s="668"/>
      <c r="O584" s="668">
        <v>10</v>
      </c>
      <c r="P584" s="668" t="str">
        <f>IFERROR(VLOOKUP(F584, [2]MOE!B:C, 2, FALSE), "No")</f>
        <v>No</v>
      </c>
      <c r="Q584" s="711"/>
      <c r="S584" s="670" t="s">
        <v>1467</v>
      </c>
      <c r="T584" s="668" t="s">
        <v>1032</v>
      </c>
    </row>
    <row r="585" spans="1:20">
      <c r="A585" s="679">
        <v>5621460</v>
      </c>
      <c r="B585" s="677"/>
      <c r="C585" s="672"/>
      <c r="D585" s="672"/>
      <c r="E585" s="676" t="s">
        <v>1124</v>
      </c>
      <c r="F585" s="680" t="s">
        <v>1479</v>
      </c>
      <c r="G585" s="710">
        <v>562</v>
      </c>
      <c r="H585" s="682">
        <v>1460</v>
      </c>
      <c r="J585" s="668" t="str">
        <f t="shared" si="90"/>
        <v>(b) Paid to Other LEA (Out-of-State)</v>
      </c>
      <c r="L585" s="668">
        <v>119</v>
      </c>
      <c r="M585" s="669">
        <v>110</v>
      </c>
      <c r="N585" s="668"/>
      <c r="O585" s="668">
        <v>10</v>
      </c>
      <c r="P585" s="668" t="str">
        <f>IFERROR(VLOOKUP(F585, [2]MOE!B:C, 2, FALSE), "No")</f>
        <v>No</v>
      </c>
      <c r="Q585" s="711"/>
      <c r="S585" s="670" t="s">
        <v>1467</v>
      </c>
      <c r="T585" s="668" t="s">
        <v>1035</v>
      </c>
    </row>
    <row r="586" spans="1:20">
      <c r="A586" s="679">
        <v>5631460</v>
      </c>
      <c r="B586" s="677"/>
      <c r="C586" s="672"/>
      <c r="D586" s="672"/>
      <c r="E586" s="676" t="s">
        <v>1305</v>
      </c>
      <c r="F586" s="680" t="s">
        <v>1480</v>
      </c>
      <c r="G586" s="710">
        <v>563</v>
      </c>
      <c r="H586" s="682">
        <v>1460</v>
      </c>
      <c r="J586" s="668" t="str">
        <f t="shared" si="90"/>
        <v>(c) Paid to Private Sources</v>
      </c>
      <c r="L586" s="668">
        <v>119</v>
      </c>
      <c r="M586" s="669">
        <v>110</v>
      </c>
      <c r="N586" s="668"/>
      <c r="O586" s="668">
        <v>10</v>
      </c>
      <c r="P586" s="668" t="str">
        <f>IFERROR(VLOOKUP(F586, [2]MOE!B:C, 2, FALSE), "No")</f>
        <v>No</v>
      </c>
      <c r="Q586" s="711"/>
      <c r="S586" s="670" t="s">
        <v>1467</v>
      </c>
      <c r="T586" s="668" t="s">
        <v>1038</v>
      </c>
    </row>
    <row r="587" spans="1:20">
      <c r="A587" s="679">
        <v>5821460</v>
      </c>
      <c r="B587" s="677"/>
      <c r="C587" s="672"/>
      <c r="D587" s="672"/>
      <c r="E587" s="676" t="s">
        <v>1135</v>
      </c>
      <c r="F587" s="680" t="s">
        <v>1481</v>
      </c>
      <c r="G587" s="710">
        <v>582</v>
      </c>
      <c r="H587" s="682">
        <v>1460</v>
      </c>
      <c r="J587" s="668" t="str">
        <f t="shared" si="90"/>
        <v>(2) Travel Expense Reimbursement</v>
      </c>
      <c r="L587" s="668">
        <v>118</v>
      </c>
      <c r="M587" s="669">
        <v>109</v>
      </c>
      <c r="N587" s="668"/>
      <c r="O587" s="668">
        <v>10</v>
      </c>
      <c r="P587" s="668" t="str">
        <f>IFERROR(VLOOKUP(F587, [2]MOE!B:C, 2, FALSE), "No")</f>
        <v>No</v>
      </c>
      <c r="Q587" s="711"/>
      <c r="S587" s="670" t="s">
        <v>1467</v>
      </c>
      <c r="T587" s="668" t="s">
        <v>1039</v>
      </c>
    </row>
    <row r="588" spans="1:20">
      <c r="A588" s="679">
        <v>5001460</v>
      </c>
      <c r="B588" s="719"/>
      <c r="C588" s="681"/>
      <c r="D588" s="681"/>
      <c r="E588" s="686" t="s">
        <v>1137</v>
      </c>
      <c r="F588" s="680" t="s">
        <v>1482</v>
      </c>
      <c r="G588" s="710">
        <v>500</v>
      </c>
      <c r="H588" s="682">
        <v>1460</v>
      </c>
      <c r="J588" s="668" t="str">
        <f t="shared" si="90"/>
        <v>(3) Other Purchased Services</v>
      </c>
      <c r="L588" s="668">
        <v>119</v>
      </c>
      <c r="M588" s="669">
        <v>110</v>
      </c>
      <c r="N588" s="668"/>
      <c r="O588" s="668">
        <v>10</v>
      </c>
      <c r="P588" s="668" t="str">
        <f>IFERROR(VLOOKUP(F588, [2]MOE!B:C, 2, FALSE), "No")</f>
        <v>No</v>
      </c>
      <c r="Q588" s="711"/>
      <c r="S588" s="670" t="s">
        <v>1467</v>
      </c>
      <c r="T588" s="668" t="s">
        <v>252</v>
      </c>
    </row>
    <row r="589" spans="1:20">
      <c r="A589" s="671"/>
      <c r="B589" s="677"/>
      <c r="C589" s="672"/>
      <c r="D589" s="672" t="s">
        <v>850</v>
      </c>
      <c r="E589" s="676" t="s">
        <v>1042</v>
      </c>
      <c r="F589" s="675"/>
      <c r="G589" s="672"/>
      <c r="H589" s="676"/>
      <c r="Q589" s="711"/>
      <c r="S589" s="670"/>
    </row>
    <row r="590" spans="1:20">
      <c r="A590" s="679">
        <v>6151460</v>
      </c>
      <c r="B590" s="677"/>
      <c r="C590" s="672"/>
      <c r="D590" s="672"/>
      <c r="E590" s="676" t="s">
        <v>1139</v>
      </c>
      <c r="F590" s="680" t="s">
        <v>1483</v>
      </c>
      <c r="G590" s="710">
        <v>615</v>
      </c>
      <c r="H590" s="682">
        <v>1460</v>
      </c>
      <c r="J590" s="668" t="str">
        <f t="shared" ref="J590:J593" si="91">E590</f>
        <v>(1) Technology-Related Supplies</v>
      </c>
      <c r="L590" s="668">
        <v>126</v>
      </c>
      <c r="M590" s="669">
        <v>117</v>
      </c>
      <c r="N590" s="668"/>
      <c r="O590" s="668">
        <v>10</v>
      </c>
      <c r="P590" s="668" t="str">
        <f>IFERROR(VLOOKUP(F590, [2]MOE!B:C, 2, FALSE), "No")</f>
        <v>No</v>
      </c>
      <c r="Q590" s="711" t="s">
        <v>1045</v>
      </c>
      <c r="S590" s="670" t="s">
        <v>1467</v>
      </c>
      <c r="T590" s="668" t="s">
        <v>1043</v>
      </c>
    </row>
    <row r="591" spans="1:20">
      <c r="A591" s="679">
        <v>6101460</v>
      </c>
      <c r="B591" s="677"/>
      <c r="C591" s="672"/>
      <c r="D591" s="672"/>
      <c r="E591" s="676" t="s">
        <v>1141</v>
      </c>
      <c r="F591" s="680" t="s">
        <v>1484</v>
      </c>
      <c r="G591" s="710">
        <v>610</v>
      </c>
      <c r="H591" s="682">
        <v>1460</v>
      </c>
      <c r="J591" s="668" t="str">
        <f t="shared" si="91"/>
        <v>(2) Materials and Supplies</v>
      </c>
      <c r="L591" s="668">
        <v>122</v>
      </c>
      <c r="M591" s="669">
        <v>113</v>
      </c>
      <c r="N591" s="668"/>
      <c r="O591" s="668">
        <v>10</v>
      </c>
      <c r="P591" s="668" t="str">
        <f>IFERROR(VLOOKUP(F591, [2]MOE!B:C, 2, FALSE), "No")</f>
        <v>No</v>
      </c>
      <c r="Q591" s="711" t="s">
        <v>1045</v>
      </c>
      <c r="S591" s="670" t="s">
        <v>1467</v>
      </c>
      <c r="T591" s="668" t="s">
        <v>39</v>
      </c>
    </row>
    <row r="592" spans="1:20">
      <c r="A592" s="679">
        <v>6421460</v>
      </c>
      <c r="B592" s="677"/>
      <c r="C592" s="672"/>
      <c r="D592" s="672"/>
      <c r="E592" s="676" t="s">
        <v>1143</v>
      </c>
      <c r="F592" s="680" t="s">
        <v>1485</v>
      </c>
      <c r="G592" s="710">
        <v>642</v>
      </c>
      <c r="H592" s="682">
        <v>1460</v>
      </c>
      <c r="J592" s="668" t="str">
        <f t="shared" si="91"/>
        <v>(3) Textbooks/Workbooks</v>
      </c>
      <c r="L592" s="668">
        <v>125</v>
      </c>
      <c r="M592" s="669">
        <v>116</v>
      </c>
      <c r="N592" s="668"/>
      <c r="O592" s="668">
        <v>10</v>
      </c>
      <c r="P592" s="668" t="str">
        <f>IFERROR(VLOOKUP(F592, [2]MOE!B:C, 2, FALSE), "No")</f>
        <v>No</v>
      </c>
      <c r="Q592" s="711" t="s">
        <v>1045</v>
      </c>
      <c r="S592" s="670" t="s">
        <v>1467</v>
      </c>
      <c r="T592" s="668" t="s">
        <v>1048</v>
      </c>
    </row>
    <row r="593" spans="1:20">
      <c r="A593" s="679">
        <v>6001460</v>
      </c>
      <c r="B593" s="677"/>
      <c r="C593" s="672"/>
      <c r="D593" s="672"/>
      <c r="E593" s="676" t="s">
        <v>1145</v>
      </c>
      <c r="F593" s="680" t="s">
        <v>1486</v>
      </c>
      <c r="G593" s="710">
        <v>600</v>
      </c>
      <c r="H593" s="682">
        <v>1460</v>
      </c>
      <c r="J593" s="668" t="str">
        <f t="shared" si="91"/>
        <v>(4) Other Supplies</v>
      </c>
      <c r="L593" s="668">
        <v>126</v>
      </c>
      <c r="M593" s="669">
        <v>117</v>
      </c>
      <c r="N593" s="668"/>
      <c r="O593" s="668">
        <v>10</v>
      </c>
      <c r="P593" s="668" t="str">
        <f>IFERROR(VLOOKUP(F593, [2]MOE!B:C, 2, FALSE), "No")</f>
        <v>No</v>
      </c>
      <c r="Q593" s="711"/>
      <c r="S593" s="670" t="s">
        <v>1467</v>
      </c>
      <c r="T593" s="668" t="s">
        <v>1050</v>
      </c>
    </row>
    <row r="594" spans="1:20">
      <c r="A594" s="671"/>
      <c r="B594" s="677"/>
      <c r="C594" s="672"/>
      <c r="D594" s="672" t="s">
        <v>853</v>
      </c>
      <c r="E594" s="676" t="s">
        <v>1052</v>
      </c>
      <c r="F594" s="675"/>
      <c r="G594" s="672"/>
      <c r="H594" s="676"/>
      <c r="Q594" s="711"/>
      <c r="S594" s="670"/>
    </row>
    <row r="595" spans="1:20">
      <c r="A595" s="679">
        <v>7341460</v>
      </c>
      <c r="B595" s="677"/>
      <c r="C595" s="672"/>
      <c r="D595" s="672"/>
      <c r="E595" s="676" t="s">
        <v>1147</v>
      </c>
      <c r="F595" s="680" t="s">
        <v>1487</v>
      </c>
      <c r="G595" s="710">
        <v>734</v>
      </c>
      <c r="H595" s="682">
        <v>1460</v>
      </c>
      <c r="J595" s="668" t="str">
        <f t="shared" ref="J595:J598" si="92">E595</f>
        <v>(1) Technology-Related Hardware</v>
      </c>
      <c r="L595" s="668">
        <v>131</v>
      </c>
      <c r="M595" s="669">
        <v>122</v>
      </c>
      <c r="N595" s="668"/>
      <c r="O595" s="668">
        <v>10</v>
      </c>
      <c r="P595" s="668" t="str">
        <f>IFERROR(VLOOKUP(F595, [2]MOE!B:C, 2, FALSE), "No")</f>
        <v>No</v>
      </c>
      <c r="Q595" s="711"/>
      <c r="S595" s="670" t="s">
        <v>1467</v>
      </c>
      <c r="T595" s="668" t="s">
        <v>1053</v>
      </c>
    </row>
    <row r="596" spans="1:20">
      <c r="A596" s="679">
        <v>7351460</v>
      </c>
      <c r="B596" s="677"/>
      <c r="C596" s="672"/>
      <c r="D596" s="672"/>
      <c r="E596" s="676" t="s">
        <v>1149</v>
      </c>
      <c r="F596" s="680" t="s">
        <v>1488</v>
      </c>
      <c r="G596" s="710">
        <v>735</v>
      </c>
      <c r="H596" s="682">
        <v>1460</v>
      </c>
      <c r="J596" s="668" t="str">
        <f t="shared" si="92"/>
        <v>(2) Technology Software</v>
      </c>
      <c r="L596" s="668">
        <v>131</v>
      </c>
      <c r="M596" s="669">
        <v>122</v>
      </c>
      <c r="N596" s="668"/>
      <c r="O596" s="668">
        <v>10</v>
      </c>
      <c r="P596" s="668" t="str">
        <f>IFERROR(VLOOKUP(F596, [2]MOE!B:C, 2, FALSE), "No")</f>
        <v>No</v>
      </c>
      <c r="Q596" s="711"/>
      <c r="S596" s="670" t="s">
        <v>1467</v>
      </c>
      <c r="T596" s="668" t="s">
        <v>1055</v>
      </c>
    </row>
    <row r="597" spans="1:20">
      <c r="A597" s="679">
        <v>7301460</v>
      </c>
      <c r="B597" s="677"/>
      <c r="C597" s="672"/>
      <c r="D597" s="672"/>
      <c r="E597" s="676" t="s">
        <v>1151</v>
      </c>
      <c r="F597" s="680" t="s">
        <v>1489</v>
      </c>
      <c r="G597" s="710">
        <v>730</v>
      </c>
      <c r="H597" s="682">
        <v>1460</v>
      </c>
      <c r="J597" s="668" t="str">
        <f t="shared" si="92"/>
        <v>(3) All Other Equipment</v>
      </c>
      <c r="L597" s="668">
        <v>131</v>
      </c>
      <c r="M597" s="669">
        <v>122</v>
      </c>
      <c r="N597" s="668"/>
      <c r="O597" s="668">
        <v>10</v>
      </c>
      <c r="P597" s="668" t="str">
        <f>IFERROR(VLOOKUP(F597, [2]MOE!B:C, 2, FALSE), "No")</f>
        <v>No</v>
      </c>
      <c r="Q597" s="711"/>
      <c r="S597" s="670" t="s">
        <v>1467</v>
      </c>
      <c r="T597" s="668" t="s">
        <v>1057</v>
      </c>
    </row>
    <row r="598" spans="1:20">
      <c r="A598" s="679">
        <v>7001460</v>
      </c>
      <c r="B598" s="677"/>
      <c r="C598" s="672"/>
      <c r="D598" s="672"/>
      <c r="E598" s="676" t="s">
        <v>1153</v>
      </c>
      <c r="F598" s="680" t="s">
        <v>1490</v>
      </c>
      <c r="G598" s="710">
        <v>700</v>
      </c>
      <c r="H598" s="682">
        <v>1460</v>
      </c>
      <c r="J598" s="668" t="str">
        <f t="shared" si="92"/>
        <v>(4) Other Property</v>
      </c>
      <c r="L598" s="668">
        <v>132</v>
      </c>
      <c r="M598" s="669">
        <v>123</v>
      </c>
      <c r="N598" s="668"/>
      <c r="O598" s="668">
        <v>10</v>
      </c>
      <c r="P598" s="668" t="str">
        <f>IFERROR(VLOOKUP(F598, [2]MOE!B:C, 2, FALSE), "No")</f>
        <v>No</v>
      </c>
      <c r="Q598" s="711"/>
      <c r="S598" s="670" t="s">
        <v>1467</v>
      </c>
      <c r="T598" s="668" t="s">
        <v>1059</v>
      </c>
    </row>
    <row r="599" spans="1:20">
      <c r="A599" s="671"/>
      <c r="B599" s="677"/>
      <c r="C599" s="672"/>
      <c r="D599" s="672" t="s">
        <v>856</v>
      </c>
      <c r="E599" s="676" t="s">
        <v>256</v>
      </c>
      <c r="F599" s="675"/>
      <c r="G599" s="672"/>
      <c r="H599" s="676"/>
      <c r="Q599" s="711"/>
      <c r="S599" s="670"/>
    </row>
    <row r="600" spans="1:20">
      <c r="A600" s="679">
        <v>8951460</v>
      </c>
      <c r="B600" s="677"/>
      <c r="C600" s="672"/>
      <c r="D600" s="672"/>
      <c r="E600" s="676" t="s">
        <v>1155</v>
      </c>
      <c r="F600" s="680" t="s">
        <v>1491</v>
      </c>
      <c r="G600" s="710">
        <v>895</v>
      </c>
      <c r="H600" s="682">
        <v>1460</v>
      </c>
      <c r="J600" s="668" t="str">
        <f t="shared" ref="J600:J601" si="93">E600</f>
        <v>(1) Miscellaneous Non-Public Expenditures</v>
      </c>
      <c r="L600" s="668">
        <v>139</v>
      </c>
      <c r="M600" s="669">
        <v>129</v>
      </c>
      <c r="N600" s="668"/>
      <c r="O600" s="668">
        <v>10</v>
      </c>
      <c r="P600" s="668" t="str">
        <f>IFERROR(VLOOKUP(F600, [2]MOE!B:C, 2, FALSE), "No")</f>
        <v>No</v>
      </c>
      <c r="Q600" s="711"/>
      <c r="S600" s="670" t="s">
        <v>1467</v>
      </c>
      <c r="T600" s="668" t="s">
        <v>1061</v>
      </c>
    </row>
    <row r="601" spans="1:20">
      <c r="A601" s="679">
        <v>8001460</v>
      </c>
      <c r="B601" s="677"/>
      <c r="C601" s="672"/>
      <c r="D601" s="672"/>
      <c r="E601" s="676" t="s">
        <v>1157</v>
      </c>
      <c r="F601" s="680" t="s">
        <v>1492</v>
      </c>
      <c r="G601" s="710">
        <v>800</v>
      </c>
      <c r="H601" s="682">
        <v>1460</v>
      </c>
      <c r="J601" s="668" t="str">
        <f t="shared" si="93"/>
        <v>(2) Other Miscellaneous Expenditures</v>
      </c>
      <c r="L601" s="668">
        <v>139</v>
      </c>
      <c r="M601" s="669">
        <v>129</v>
      </c>
      <c r="N601" s="668"/>
      <c r="O601" s="668">
        <v>10</v>
      </c>
      <c r="P601" s="668" t="str">
        <f>IFERROR(VLOOKUP(F601, [2]MOE!B:C, 2, FALSE), "No")</f>
        <v>No</v>
      </c>
      <c r="Q601" s="711"/>
      <c r="S601" s="670" t="s">
        <v>1467</v>
      </c>
      <c r="T601" s="668" t="s">
        <v>1063</v>
      </c>
    </row>
    <row r="602" spans="1:20">
      <c r="A602" s="671"/>
      <c r="B602" s="677"/>
      <c r="C602" s="672"/>
      <c r="D602" s="672" t="s">
        <v>859</v>
      </c>
      <c r="E602" s="676" t="s">
        <v>1065</v>
      </c>
      <c r="F602" s="675"/>
      <c r="G602" s="672"/>
      <c r="H602" s="676"/>
      <c r="Q602" s="711"/>
      <c r="S602" s="670"/>
    </row>
    <row r="603" spans="1:20">
      <c r="A603" s="679">
        <v>2101460</v>
      </c>
      <c r="B603" s="677"/>
      <c r="C603" s="672"/>
      <c r="D603" s="672"/>
      <c r="E603" s="676" t="s">
        <v>1159</v>
      </c>
      <c r="F603" s="680" t="s">
        <v>1493</v>
      </c>
      <c r="G603" s="710">
        <v>210</v>
      </c>
      <c r="H603" s="682">
        <v>1460</v>
      </c>
      <c r="J603" s="668" t="str">
        <f t="shared" ref="J603:J605" si="94">E603</f>
        <v>(1) Group Insurance</v>
      </c>
      <c r="L603" s="668">
        <v>89</v>
      </c>
      <c r="M603" s="669">
        <v>84</v>
      </c>
      <c r="N603" s="668"/>
      <c r="O603" s="668">
        <v>10</v>
      </c>
      <c r="P603" s="668" t="str">
        <f>IFERROR(VLOOKUP(F603, [2]MOE!B:C, 2, FALSE), "No")</f>
        <v>No</v>
      </c>
      <c r="Q603" s="711" t="s">
        <v>1004</v>
      </c>
      <c r="S603" s="670" t="s">
        <v>1467</v>
      </c>
      <c r="T603" s="668" t="s">
        <v>1066</v>
      </c>
    </row>
    <row r="604" spans="1:20">
      <c r="A604" s="679">
        <v>2201460</v>
      </c>
      <c r="B604" s="677"/>
      <c r="C604" s="672"/>
      <c r="D604" s="672"/>
      <c r="E604" s="676" t="s">
        <v>1161</v>
      </c>
      <c r="F604" s="680" t="s">
        <v>1494</v>
      </c>
      <c r="G604" s="710">
        <v>220</v>
      </c>
      <c r="H604" s="682">
        <v>1460</v>
      </c>
      <c r="J604" s="668" t="str">
        <f t="shared" si="94"/>
        <v>(2) FICA</v>
      </c>
      <c r="L604" s="668">
        <v>90</v>
      </c>
      <c r="M604" s="669">
        <v>85</v>
      </c>
      <c r="N604" s="668"/>
      <c r="O604" s="668">
        <v>10</v>
      </c>
      <c r="P604" s="668" t="str">
        <f>IFERROR(VLOOKUP(F604, [2]MOE!B:C, 2, FALSE), "No")</f>
        <v>No</v>
      </c>
      <c r="Q604" s="711" t="s">
        <v>1004</v>
      </c>
      <c r="S604" s="670" t="s">
        <v>1467</v>
      </c>
      <c r="T604" s="668" t="s">
        <v>1068</v>
      </c>
    </row>
    <row r="605" spans="1:20">
      <c r="A605" s="679">
        <v>2251460</v>
      </c>
      <c r="B605" s="677"/>
      <c r="C605" s="672"/>
      <c r="D605" s="672"/>
      <c r="E605" s="676" t="s">
        <v>1163</v>
      </c>
      <c r="F605" s="680" t="s">
        <v>1495</v>
      </c>
      <c r="G605" s="710">
        <v>225</v>
      </c>
      <c r="H605" s="682">
        <v>1460</v>
      </c>
      <c r="J605" s="668" t="str">
        <f t="shared" si="94"/>
        <v>(3) Medicare</v>
      </c>
      <c r="L605" s="668">
        <v>91</v>
      </c>
      <c r="M605" s="669">
        <v>86</v>
      </c>
      <c r="N605" s="668"/>
      <c r="O605" s="668">
        <v>10</v>
      </c>
      <c r="P605" s="668" t="str">
        <f>IFERROR(VLOOKUP(F605, [2]MOE!B:C, 2, FALSE), "No")</f>
        <v>No</v>
      </c>
      <c r="Q605" s="711" t="s">
        <v>1004</v>
      </c>
      <c r="S605" s="670" t="s">
        <v>1467</v>
      </c>
      <c r="T605" s="668" t="s">
        <v>23</v>
      </c>
    </row>
    <row r="606" spans="1:20">
      <c r="A606" s="671"/>
      <c r="B606" s="677"/>
      <c r="C606" s="672"/>
      <c r="D606" s="672"/>
      <c r="E606" s="676" t="s">
        <v>1165</v>
      </c>
      <c r="F606" s="675"/>
      <c r="G606" s="672"/>
      <c r="H606" s="676"/>
      <c r="Q606" s="711"/>
      <c r="S606" s="670"/>
    </row>
    <row r="607" spans="1:20">
      <c r="A607" s="679">
        <v>2311460</v>
      </c>
      <c r="B607" s="677"/>
      <c r="C607" s="672"/>
      <c r="D607" s="672"/>
      <c r="E607" s="676" t="s">
        <v>1166</v>
      </c>
      <c r="F607" s="680" t="s">
        <v>1496</v>
      </c>
      <c r="G607" s="710">
        <v>231</v>
      </c>
      <c r="H607" s="682">
        <v>1460</v>
      </c>
      <c r="J607" s="668" t="str">
        <f t="shared" ref="J607:J615" si="95">E607</f>
        <v>(a) Louisiana Teachers Retirement</v>
      </c>
      <c r="L607" s="668">
        <v>92</v>
      </c>
      <c r="M607" s="669">
        <v>87</v>
      </c>
      <c r="N607" s="668"/>
      <c r="O607" s="668">
        <v>10</v>
      </c>
      <c r="P607" s="668" t="str">
        <f>IFERROR(VLOOKUP(F607, [2]MOE!B:C, 2, FALSE), "No")</f>
        <v>No</v>
      </c>
      <c r="Q607" s="711" t="s">
        <v>1004</v>
      </c>
      <c r="S607" s="670" t="s">
        <v>1467</v>
      </c>
      <c r="T607" s="668" t="s">
        <v>1074</v>
      </c>
    </row>
    <row r="608" spans="1:20">
      <c r="A608" s="679">
        <v>2331460</v>
      </c>
      <c r="B608" s="677"/>
      <c r="C608" s="672"/>
      <c r="D608" s="672"/>
      <c r="E608" s="676" t="s">
        <v>1168</v>
      </c>
      <c r="F608" s="680" t="s">
        <v>1497</v>
      </c>
      <c r="G608" s="710">
        <v>233</v>
      </c>
      <c r="H608" s="682">
        <v>1460</v>
      </c>
      <c r="J608" s="668" t="str">
        <f t="shared" si="95"/>
        <v>(b) Louisiana School Emp. Retirement</v>
      </c>
      <c r="L608" s="668">
        <v>92</v>
      </c>
      <c r="M608" s="669">
        <v>87</v>
      </c>
      <c r="N608" s="668"/>
      <c r="O608" s="668">
        <v>10</v>
      </c>
      <c r="P608" s="668" t="str">
        <f>IFERROR(VLOOKUP(F608, [2]MOE!B:C, 2, FALSE), "No")</f>
        <v>No</v>
      </c>
      <c r="Q608" s="711" t="s">
        <v>1004</v>
      </c>
      <c r="S608" s="670" t="s">
        <v>1467</v>
      </c>
      <c r="T608" s="668" t="s">
        <v>1170</v>
      </c>
    </row>
    <row r="609" spans="1:20">
      <c r="A609" s="679">
        <v>2391460</v>
      </c>
      <c r="B609" s="677"/>
      <c r="C609" s="672"/>
      <c r="D609" s="672"/>
      <c r="E609" s="676" t="s">
        <v>1171</v>
      </c>
      <c r="F609" s="680" t="s">
        <v>1498</v>
      </c>
      <c r="G609" s="710">
        <v>239</v>
      </c>
      <c r="H609" s="682">
        <v>1460</v>
      </c>
      <c r="J609" s="668" t="str">
        <f t="shared" si="95"/>
        <v>(c) Other Retirement</v>
      </c>
      <c r="L609" s="668">
        <v>92</v>
      </c>
      <c r="M609" s="669">
        <v>87</v>
      </c>
      <c r="N609" s="668"/>
      <c r="O609" s="668">
        <v>10</v>
      </c>
      <c r="P609" s="668" t="str">
        <f>IFERROR(VLOOKUP(F609, [2]MOE!B:C, 2, FALSE), "No")</f>
        <v>No</v>
      </c>
      <c r="Q609" s="711" t="s">
        <v>1004</v>
      </c>
      <c r="S609" s="670" t="s">
        <v>1467</v>
      </c>
      <c r="T609" s="668" t="s">
        <v>1080</v>
      </c>
    </row>
    <row r="610" spans="1:20">
      <c r="A610" s="679">
        <v>2501460</v>
      </c>
      <c r="B610" s="677"/>
      <c r="C610" s="672"/>
      <c r="D610" s="672"/>
      <c r="E610" s="676" t="s">
        <v>1173</v>
      </c>
      <c r="F610" s="680" t="s">
        <v>1499</v>
      </c>
      <c r="G610" s="710">
        <v>250</v>
      </c>
      <c r="H610" s="682">
        <v>1460</v>
      </c>
      <c r="J610" s="668" t="str">
        <f t="shared" si="95"/>
        <v>(5) Unemployment Compensation</v>
      </c>
      <c r="L610" s="668">
        <v>93</v>
      </c>
      <c r="M610" s="669">
        <v>88</v>
      </c>
      <c r="N610" s="668"/>
      <c r="O610" s="668">
        <v>10</v>
      </c>
      <c r="P610" s="668" t="str">
        <f>IFERROR(VLOOKUP(F610, [2]MOE!B:C, 2, FALSE), "No")</f>
        <v>No</v>
      </c>
      <c r="Q610" s="711" t="s">
        <v>1004</v>
      </c>
      <c r="S610" s="670" t="s">
        <v>1467</v>
      </c>
      <c r="T610" s="668" t="s">
        <v>1081</v>
      </c>
    </row>
    <row r="611" spans="1:20">
      <c r="A611" s="679">
        <v>2601460</v>
      </c>
      <c r="B611" s="677"/>
      <c r="C611" s="672"/>
      <c r="D611" s="672"/>
      <c r="E611" s="676" t="s">
        <v>1175</v>
      </c>
      <c r="F611" s="680" t="s">
        <v>1500</v>
      </c>
      <c r="G611" s="710">
        <v>260</v>
      </c>
      <c r="H611" s="682">
        <v>1460</v>
      </c>
      <c r="J611" s="668" t="str">
        <f t="shared" si="95"/>
        <v>(6) Workmen's Compensation</v>
      </c>
      <c r="L611" s="668">
        <v>95</v>
      </c>
      <c r="M611" s="669">
        <v>90</v>
      </c>
      <c r="N611" s="668"/>
      <c r="O611" s="668">
        <v>10</v>
      </c>
      <c r="P611" s="668" t="str">
        <f>IFERROR(VLOOKUP(F611, [2]MOE!B:C, 2, FALSE), "No")</f>
        <v>No</v>
      </c>
      <c r="Q611" s="711" t="s">
        <v>1004</v>
      </c>
      <c r="S611" s="670" t="s">
        <v>1467</v>
      </c>
      <c r="T611" s="668" t="s">
        <v>1083</v>
      </c>
    </row>
    <row r="612" spans="1:20">
      <c r="A612" s="679">
        <v>2701460</v>
      </c>
      <c r="B612" s="677"/>
      <c r="C612" s="672"/>
      <c r="D612" s="672"/>
      <c r="E612" s="676" t="s">
        <v>1177</v>
      </c>
      <c r="F612" s="680" t="s">
        <v>1501</v>
      </c>
      <c r="G612" s="710">
        <v>270</v>
      </c>
      <c r="H612" s="682">
        <v>1460</v>
      </c>
      <c r="J612" s="668" t="str">
        <f t="shared" si="95"/>
        <v>(7) Health Benefits (retirees)</v>
      </c>
      <c r="L612" s="668">
        <v>94</v>
      </c>
      <c r="M612" s="669">
        <v>89</v>
      </c>
      <c r="N612" s="668"/>
      <c r="O612" s="668">
        <v>10</v>
      </c>
      <c r="P612" s="668" t="str">
        <f>IFERROR(VLOOKUP(F612, [2]MOE!B:C, 2, FALSE), "No")</f>
        <v>No</v>
      </c>
      <c r="Q612" s="711" t="s">
        <v>1004</v>
      </c>
      <c r="S612" s="670" t="s">
        <v>1467</v>
      </c>
      <c r="T612" s="668" t="s">
        <v>1085</v>
      </c>
    </row>
    <row r="613" spans="1:20">
      <c r="A613" s="679">
        <v>2811460</v>
      </c>
      <c r="B613" s="677"/>
      <c r="C613" s="672"/>
      <c r="D613" s="672"/>
      <c r="E613" s="676" t="s">
        <v>1179</v>
      </c>
      <c r="F613" s="680" t="s">
        <v>1502</v>
      </c>
      <c r="G613" s="710">
        <v>281</v>
      </c>
      <c r="H613" s="682">
        <v>1460</v>
      </c>
      <c r="J613" s="668" t="str">
        <f t="shared" si="95"/>
        <v>(8) Sick Leave Severance Pay</v>
      </c>
      <c r="L613" s="668">
        <v>95</v>
      </c>
      <c r="M613" s="669">
        <v>90</v>
      </c>
      <c r="N613" s="668"/>
      <c r="O613" s="668">
        <v>10</v>
      </c>
      <c r="P613" s="668" t="str">
        <f>IFERROR(VLOOKUP(F613, [2]MOE!B:C, 2, FALSE), "No")</f>
        <v>No</v>
      </c>
      <c r="Q613" s="711" t="s">
        <v>1004</v>
      </c>
      <c r="S613" s="670" t="s">
        <v>1467</v>
      </c>
      <c r="T613" s="668" t="s">
        <v>1087</v>
      </c>
    </row>
    <row r="614" spans="1:20">
      <c r="A614" s="679">
        <v>2821460</v>
      </c>
      <c r="B614" s="677"/>
      <c r="C614" s="672"/>
      <c r="D614" s="672"/>
      <c r="E614" s="676" t="s">
        <v>1181</v>
      </c>
      <c r="F614" s="680" t="s">
        <v>1503</v>
      </c>
      <c r="G614" s="710">
        <v>282</v>
      </c>
      <c r="H614" s="682">
        <v>1460</v>
      </c>
      <c r="J614" s="668" t="str">
        <f t="shared" si="95"/>
        <v>(9) Annual Leave Severance Pay</v>
      </c>
      <c r="L614" s="668">
        <v>95</v>
      </c>
      <c r="M614" s="669">
        <v>90</v>
      </c>
      <c r="N614" s="668"/>
      <c r="O614" s="668">
        <v>10</v>
      </c>
      <c r="P614" s="668" t="str">
        <f>IFERROR(VLOOKUP(F614, [2]MOE!B:C, 2, FALSE), "No")</f>
        <v>No</v>
      </c>
      <c r="Q614" s="711" t="s">
        <v>1004</v>
      </c>
      <c r="S614" s="670" t="s">
        <v>1467</v>
      </c>
      <c r="T614" s="668" t="s">
        <v>1089</v>
      </c>
    </row>
    <row r="615" spans="1:20">
      <c r="A615" s="679">
        <v>2901460</v>
      </c>
      <c r="B615" s="677"/>
      <c r="C615" s="672"/>
      <c r="D615" s="672"/>
      <c r="E615" s="676" t="s">
        <v>1183</v>
      </c>
      <c r="F615" s="680" t="s">
        <v>1504</v>
      </c>
      <c r="G615" s="710">
        <v>290</v>
      </c>
      <c r="H615" s="682">
        <v>1460</v>
      </c>
      <c r="J615" s="668" t="str">
        <f t="shared" si="95"/>
        <v>(10) Other Employee Benefits</v>
      </c>
      <c r="L615" s="668">
        <v>95</v>
      </c>
      <c r="M615" s="669">
        <v>90</v>
      </c>
      <c r="N615" s="668"/>
      <c r="O615" s="668">
        <v>10</v>
      </c>
      <c r="P615" s="668" t="str">
        <f>IFERROR(VLOOKUP(F615, [2]MOE!B:C, 2, FALSE), "No")</f>
        <v>No</v>
      </c>
      <c r="Q615" s="711" t="s">
        <v>1004</v>
      </c>
      <c r="S615" s="670" t="s">
        <v>1467</v>
      </c>
      <c r="T615" s="668" t="s">
        <v>1092</v>
      </c>
    </row>
    <row r="616" spans="1:20">
      <c r="A616" s="671"/>
      <c r="B616" s="677"/>
      <c r="C616" s="678">
        <v>24</v>
      </c>
      <c r="D616" s="927" t="s">
        <v>1505</v>
      </c>
      <c r="E616" s="926"/>
      <c r="F616" s="675"/>
      <c r="G616" s="672"/>
      <c r="H616" s="676"/>
      <c r="Q616" s="711"/>
      <c r="S616" s="670"/>
    </row>
    <row r="617" spans="1:20">
      <c r="A617" s="671"/>
      <c r="B617" s="677"/>
      <c r="C617" s="672"/>
      <c r="D617" s="672" t="s">
        <v>759</v>
      </c>
      <c r="E617" s="676" t="s">
        <v>244</v>
      </c>
      <c r="F617" s="675"/>
      <c r="G617" s="672"/>
      <c r="H617" s="676"/>
      <c r="Q617" s="711"/>
      <c r="S617" s="670"/>
    </row>
    <row r="618" spans="1:20">
      <c r="A618" s="679">
        <v>1121470</v>
      </c>
      <c r="B618" s="677"/>
      <c r="C618" s="672"/>
      <c r="D618" s="672"/>
      <c r="E618" s="676" t="s">
        <v>1098</v>
      </c>
      <c r="F618" s="680" t="s">
        <v>1506</v>
      </c>
      <c r="G618" s="710">
        <v>112</v>
      </c>
      <c r="H618" s="682">
        <v>1470</v>
      </c>
      <c r="J618" s="668" t="str">
        <f t="shared" ref="J618:J624" si="96">E618</f>
        <v>(1) Teachers</v>
      </c>
      <c r="L618" s="668">
        <v>82</v>
      </c>
      <c r="M618" s="669">
        <v>77</v>
      </c>
      <c r="N618" s="668"/>
      <c r="O618" s="668">
        <v>10</v>
      </c>
      <c r="P618" s="668" t="str">
        <f>IFERROR(VLOOKUP(F618, [2]MOE!B:C, 2, FALSE), "No")</f>
        <v>No</v>
      </c>
      <c r="Q618" s="711" t="s">
        <v>1004</v>
      </c>
      <c r="S618" s="670" t="s">
        <v>1507</v>
      </c>
      <c r="T618" s="668" t="s">
        <v>5</v>
      </c>
    </row>
    <row r="619" spans="1:20">
      <c r="A619" s="679">
        <v>1151470</v>
      </c>
      <c r="B619" s="677"/>
      <c r="C619" s="672"/>
      <c r="D619" s="672"/>
      <c r="E619" s="676" t="s">
        <v>1100</v>
      </c>
      <c r="F619" s="680" t="s">
        <v>1508</v>
      </c>
      <c r="G619" s="710">
        <v>115</v>
      </c>
      <c r="H619" s="682">
        <v>1470</v>
      </c>
      <c r="J619" s="668" t="str">
        <f t="shared" si="96"/>
        <v>(2) Para-professionals (Aides)</v>
      </c>
      <c r="L619" s="668">
        <v>86</v>
      </c>
      <c r="M619" s="669">
        <v>81</v>
      </c>
      <c r="N619" s="668"/>
      <c r="O619" s="668">
        <v>10</v>
      </c>
      <c r="P619" s="668" t="str">
        <f>IFERROR(VLOOKUP(F619, [2]MOE!B:C, 2, FALSE), "No")</f>
        <v>No</v>
      </c>
      <c r="Q619" s="711" t="s">
        <v>1004</v>
      </c>
      <c r="S619" s="670" t="s">
        <v>1507</v>
      </c>
      <c r="T619" s="668" t="s">
        <v>1102</v>
      </c>
    </row>
    <row r="620" spans="1:20">
      <c r="A620" s="679">
        <v>1231470</v>
      </c>
      <c r="B620" s="677"/>
      <c r="C620" s="672"/>
      <c r="D620" s="672"/>
      <c r="E620" s="676" t="s">
        <v>1103</v>
      </c>
      <c r="F620" s="680" t="s">
        <v>1509</v>
      </c>
      <c r="G620" s="710">
        <v>123</v>
      </c>
      <c r="H620" s="682">
        <v>1470</v>
      </c>
      <c r="J620" s="668" t="str">
        <f t="shared" si="96"/>
        <v>(3) Substitute Teachers</v>
      </c>
      <c r="L620" s="668">
        <v>86</v>
      </c>
      <c r="M620" s="669">
        <v>81</v>
      </c>
      <c r="N620" s="668"/>
      <c r="O620" s="668">
        <v>10</v>
      </c>
      <c r="P620" s="668" t="str">
        <f>IFERROR(VLOOKUP(F620, [2]MOE!B:C, 2, FALSE), "No")</f>
        <v>No</v>
      </c>
      <c r="Q620" s="711" t="s">
        <v>1004</v>
      </c>
      <c r="S620" s="670" t="s">
        <v>1507</v>
      </c>
      <c r="T620" s="668" t="s">
        <v>1105</v>
      </c>
    </row>
    <row r="621" spans="1:20">
      <c r="A621" s="679">
        <v>1201470</v>
      </c>
      <c r="B621" s="677"/>
      <c r="C621" s="672"/>
      <c r="D621" s="672"/>
      <c r="E621" s="676" t="s">
        <v>1106</v>
      </c>
      <c r="F621" s="680" t="s">
        <v>1510</v>
      </c>
      <c r="G621" s="710">
        <v>120</v>
      </c>
      <c r="H621" s="682">
        <v>1470</v>
      </c>
      <c r="J621" s="668" t="str">
        <f t="shared" si="96"/>
        <v>(4) Other Substitute/Temp. Employees</v>
      </c>
      <c r="L621" s="668">
        <v>86</v>
      </c>
      <c r="M621" s="669">
        <v>81</v>
      </c>
      <c r="N621" s="668"/>
      <c r="O621" s="668">
        <v>10</v>
      </c>
      <c r="P621" s="668" t="str">
        <f>IFERROR(VLOOKUP(F621, [2]MOE!B:C, 2, FALSE), "No")</f>
        <v>No</v>
      </c>
      <c r="Q621" s="711" t="s">
        <v>1004</v>
      </c>
      <c r="S621" s="670" t="s">
        <v>1507</v>
      </c>
      <c r="T621" s="668" t="s">
        <v>1108</v>
      </c>
    </row>
    <row r="622" spans="1:20">
      <c r="A622" s="679">
        <v>1001470</v>
      </c>
      <c r="B622" s="677"/>
      <c r="C622" s="672"/>
      <c r="D622" s="672"/>
      <c r="E622" s="676" t="s">
        <v>1109</v>
      </c>
      <c r="F622" s="680" t="s">
        <v>1511</v>
      </c>
      <c r="G622" s="710">
        <v>100</v>
      </c>
      <c r="H622" s="682">
        <v>1470</v>
      </c>
      <c r="J622" s="668" t="str">
        <f t="shared" si="96"/>
        <v>(5) Other Instructional Salaries</v>
      </c>
      <c r="L622" s="668">
        <v>86</v>
      </c>
      <c r="M622" s="669">
        <v>81</v>
      </c>
      <c r="N622" s="668"/>
      <c r="O622" s="668">
        <v>10</v>
      </c>
      <c r="P622" s="668" t="str">
        <f>IFERROR(VLOOKUP(F622, [2]MOE!B:C, 2, FALSE), "No")</f>
        <v>No</v>
      </c>
      <c r="Q622" s="711" t="s">
        <v>1004</v>
      </c>
      <c r="S622" s="670" t="s">
        <v>1507</v>
      </c>
      <c r="T622" s="668" t="s">
        <v>1017</v>
      </c>
    </row>
    <row r="623" spans="1:20">
      <c r="A623" s="679">
        <v>1401470</v>
      </c>
      <c r="B623" s="677"/>
      <c r="C623" s="672"/>
      <c r="D623" s="672"/>
      <c r="E623" s="676" t="s">
        <v>1111</v>
      </c>
      <c r="F623" s="680" t="s">
        <v>1512</v>
      </c>
      <c r="G623" s="710">
        <v>140</v>
      </c>
      <c r="H623" s="682">
        <v>1470</v>
      </c>
      <c r="J623" s="668" t="str">
        <f t="shared" si="96"/>
        <v>(6) Sabbatical Leave</v>
      </c>
      <c r="L623" s="668">
        <v>86</v>
      </c>
      <c r="M623" s="669">
        <v>81</v>
      </c>
      <c r="N623" s="668"/>
      <c r="O623" s="668">
        <v>10</v>
      </c>
      <c r="P623" s="668" t="str">
        <f>IFERROR(VLOOKUP(F623, [2]MOE!B:C, 2, FALSE), "No")</f>
        <v>No</v>
      </c>
      <c r="Q623" s="711" t="s">
        <v>1004</v>
      </c>
      <c r="S623" s="670" t="s">
        <v>1507</v>
      </c>
      <c r="T623" s="668" t="s">
        <v>1019</v>
      </c>
    </row>
    <row r="624" spans="1:20">
      <c r="A624" s="679">
        <v>3001470</v>
      </c>
      <c r="B624" s="677"/>
      <c r="C624" s="672"/>
      <c r="D624" s="672" t="s">
        <v>777</v>
      </c>
      <c r="E624" s="676" t="s">
        <v>1113</v>
      </c>
      <c r="F624" s="680" t="s">
        <v>1513</v>
      </c>
      <c r="G624" s="710">
        <v>300</v>
      </c>
      <c r="H624" s="682">
        <v>1470</v>
      </c>
      <c r="J624" s="668" t="str">
        <f t="shared" si="96"/>
        <v>Purchased Professional and Technical Svcs</v>
      </c>
      <c r="L624" s="668">
        <v>101</v>
      </c>
      <c r="M624" s="669">
        <v>96</v>
      </c>
      <c r="N624" s="668"/>
      <c r="O624" s="668">
        <v>10</v>
      </c>
      <c r="P624" s="668" t="str">
        <f>IFERROR(VLOOKUP(F624, [2]MOE!B:C, 2, FALSE), "No")</f>
        <v>No</v>
      </c>
      <c r="Q624" s="711"/>
      <c r="S624" s="670" t="s">
        <v>1507</v>
      </c>
      <c r="T624" s="668" t="s">
        <v>1113</v>
      </c>
    </row>
    <row r="625" spans="1:20">
      <c r="A625" s="671"/>
      <c r="B625" s="677"/>
      <c r="C625" s="672"/>
      <c r="D625" s="672" t="s">
        <v>801</v>
      </c>
      <c r="E625" s="676" t="s">
        <v>250</v>
      </c>
      <c r="F625" s="675"/>
      <c r="G625" s="672"/>
      <c r="H625" s="676"/>
      <c r="Q625" s="711"/>
      <c r="S625" s="670"/>
    </row>
    <row r="626" spans="1:20">
      <c r="A626" s="679">
        <v>4301470</v>
      </c>
      <c r="B626" s="677"/>
      <c r="C626" s="672"/>
      <c r="D626" s="672"/>
      <c r="E626" s="676" t="s">
        <v>1115</v>
      </c>
      <c r="F626" s="680" t="s">
        <v>1514</v>
      </c>
      <c r="G626" s="710">
        <v>430</v>
      </c>
      <c r="H626" s="682">
        <v>1470</v>
      </c>
      <c r="J626" s="668" t="str">
        <f t="shared" ref="J626:J628" si="97">E626</f>
        <v>(1) Repairs and Maintenance Services</v>
      </c>
      <c r="L626" s="668">
        <v>107</v>
      </c>
      <c r="M626" s="669">
        <v>102</v>
      </c>
      <c r="N626" s="668"/>
      <c r="O626" s="668">
        <v>10</v>
      </c>
      <c r="P626" s="668" t="str">
        <f>IFERROR(VLOOKUP(F626, [2]MOE!B:C, 2, FALSE), "No")</f>
        <v>No</v>
      </c>
      <c r="Q626" s="711"/>
      <c r="S626" s="670" t="s">
        <v>1507</v>
      </c>
      <c r="T626" s="668" t="s">
        <v>1023</v>
      </c>
    </row>
    <row r="627" spans="1:20">
      <c r="A627" s="679">
        <v>4421470</v>
      </c>
      <c r="B627" s="677"/>
      <c r="C627" s="672"/>
      <c r="D627" s="672"/>
      <c r="E627" s="676" t="s">
        <v>1117</v>
      </c>
      <c r="F627" s="680" t="s">
        <v>1515</v>
      </c>
      <c r="G627" s="710">
        <v>442</v>
      </c>
      <c r="H627" s="682">
        <v>1470</v>
      </c>
      <c r="J627" s="668" t="str">
        <f t="shared" si="97"/>
        <v>(2) Rental of Equipment</v>
      </c>
      <c r="L627" s="668">
        <v>106</v>
      </c>
      <c r="M627" s="669">
        <v>101</v>
      </c>
      <c r="N627" s="668"/>
      <c r="O627" s="668">
        <v>10</v>
      </c>
      <c r="P627" s="668" t="str">
        <f>IFERROR(VLOOKUP(F627, [2]MOE!B:C, 2, FALSE), "No")</f>
        <v>No</v>
      </c>
      <c r="Q627" s="711"/>
      <c r="S627" s="670" t="s">
        <v>1507</v>
      </c>
      <c r="T627" s="668" t="s">
        <v>1025</v>
      </c>
    </row>
    <row r="628" spans="1:20">
      <c r="A628" s="679">
        <v>4001470</v>
      </c>
      <c r="B628" s="677"/>
      <c r="C628" s="672"/>
      <c r="D628" s="672"/>
      <c r="E628" s="676" t="s">
        <v>1119</v>
      </c>
      <c r="F628" s="680" t="s">
        <v>1516</v>
      </c>
      <c r="G628" s="710">
        <v>400</v>
      </c>
      <c r="H628" s="682">
        <v>1470</v>
      </c>
      <c r="J628" s="668" t="str">
        <f t="shared" si="97"/>
        <v>(3) Other Purchased Property Services</v>
      </c>
      <c r="L628" s="668">
        <v>108</v>
      </c>
      <c r="M628" s="669">
        <v>103</v>
      </c>
      <c r="N628" s="668"/>
      <c r="O628" s="668">
        <v>10</v>
      </c>
      <c r="P628" s="668" t="str">
        <f>IFERROR(VLOOKUP(F628, [2]MOE!B:C, 2, FALSE), "No")</f>
        <v>No</v>
      </c>
      <c r="Q628" s="711"/>
      <c r="S628" s="670" t="s">
        <v>1507</v>
      </c>
      <c r="T628" s="668" t="s">
        <v>1027</v>
      </c>
    </row>
    <row r="629" spans="1:20">
      <c r="A629" s="671"/>
      <c r="B629" s="677"/>
      <c r="C629" s="672"/>
      <c r="D629" s="672" t="s">
        <v>805</v>
      </c>
      <c r="E629" s="676" t="s">
        <v>252</v>
      </c>
      <c r="F629" s="675"/>
      <c r="G629" s="672"/>
      <c r="H629" s="676"/>
      <c r="Q629" s="711"/>
      <c r="S629" s="670"/>
    </row>
    <row r="630" spans="1:20">
      <c r="A630" s="671"/>
      <c r="B630" s="677"/>
      <c r="C630" s="672"/>
      <c r="D630" s="672"/>
      <c r="E630" s="676" t="s">
        <v>1121</v>
      </c>
      <c r="F630" s="675"/>
      <c r="G630" s="672"/>
      <c r="H630" s="676"/>
      <c r="Q630" s="711"/>
      <c r="S630" s="670"/>
    </row>
    <row r="631" spans="1:20">
      <c r="A631" s="679">
        <v>5611470</v>
      </c>
      <c r="B631" s="677"/>
      <c r="C631" s="672"/>
      <c r="D631" s="672"/>
      <c r="E631" s="676" t="s">
        <v>1122</v>
      </c>
      <c r="F631" s="680" t="s">
        <v>1517</v>
      </c>
      <c r="G631" s="710">
        <v>561</v>
      </c>
      <c r="H631" s="682">
        <v>1470</v>
      </c>
      <c r="J631" s="668" t="str">
        <f t="shared" ref="J631:J635" si="98">E631</f>
        <v>(a) Paid to Other LEA (In-State)</v>
      </c>
      <c r="L631" s="668">
        <v>119</v>
      </c>
      <c r="M631" s="669">
        <v>110</v>
      </c>
      <c r="N631" s="668"/>
      <c r="O631" s="668">
        <v>10</v>
      </c>
      <c r="P631" s="668" t="str">
        <f>IFERROR(VLOOKUP(F631, [2]MOE!B:C, 2, FALSE), "No")</f>
        <v>No</v>
      </c>
      <c r="Q631" s="711"/>
      <c r="S631" s="670" t="s">
        <v>1507</v>
      </c>
      <c r="T631" s="668" t="s">
        <v>1032</v>
      </c>
    </row>
    <row r="632" spans="1:20">
      <c r="A632" s="679">
        <v>5621470</v>
      </c>
      <c r="B632" s="677"/>
      <c r="C632" s="672"/>
      <c r="D632" s="672"/>
      <c r="E632" s="676" t="s">
        <v>1124</v>
      </c>
      <c r="F632" s="680" t="s">
        <v>1518</v>
      </c>
      <c r="G632" s="710">
        <v>562</v>
      </c>
      <c r="H632" s="682">
        <v>1470</v>
      </c>
      <c r="J632" s="668" t="str">
        <f t="shared" si="98"/>
        <v>(b) Paid to Other LEA (Out-of-State)</v>
      </c>
      <c r="L632" s="668">
        <v>119</v>
      </c>
      <c r="M632" s="669">
        <v>110</v>
      </c>
      <c r="N632" s="668"/>
      <c r="O632" s="668">
        <v>10</v>
      </c>
      <c r="P632" s="668" t="str">
        <f>IFERROR(VLOOKUP(F632, [2]MOE!B:C, 2, FALSE), "No")</f>
        <v>No</v>
      </c>
      <c r="Q632" s="711"/>
      <c r="S632" s="670" t="s">
        <v>1507</v>
      </c>
      <c r="T632" s="668" t="s">
        <v>1035</v>
      </c>
    </row>
    <row r="633" spans="1:20">
      <c r="A633" s="679">
        <v>5631470</v>
      </c>
      <c r="B633" s="677"/>
      <c r="C633" s="672"/>
      <c r="D633" s="672"/>
      <c r="E633" s="676" t="s">
        <v>1305</v>
      </c>
      <c r="F633" s="680" t="s">
        <v>1519</v>
      </c>
      <c r="G633" s="710">
        <v>563</v>
      </c>
      <c r="H633" s="682">
        <v>1470</v>
      </c>
      <c r="J633" s="668" t="str">
        <f t="shared" si="98"/>
        <v>(c) Paid to Private Sources</v>
      </c>
      <c r="L633" s="668">
        <v>119</v>
      </c>
      <c r="M633" s="669">
        <v>110</v>
      </c>
      <c r="N633" s="668"/>
      <c r="O633" s="668">
        <v>10</v>
      </c>
      <c r="P633" s="668" t="str">
        <f>IFERROR(VLOOKUP(F633, [2]MOE!B:C, 2, FALSE), "No")</f>
        <v>No</v>
      </c>
      <c r="Q633" s="711"/>
      <c r="S633" s="670" t="s">
        <v>1507</v>
      </c>
      <c r="T633" s="668" t="s">
        <v>1038</v>
      </c>
    </row>
    <row r="634" spans="1:20">
      <c r="A634" s="679">
        <v>5821470</v>
      </c>
      <c r="B634" s="677"/>
      <c r="C634" s="672"/>
      <c r="D634" s="672"/>
      <c r="E634" s="676" t="s">
        <v>1135</v>
      </c>
      <c r="F634" s="680" t="s">
        <v>1520</v>
      </c>
      <c r="G634" s="710">
        <v>582</v>
      </c>
      <c r="H634" s="682">
        <v>1470</v>
      </c>
      <c r="J634" s="668" t="str">
        <f t="shared" si="98"/>
        <v>(2) Travel Expense Reimbursement</v>
      </c>
      <c r="L634" s="668">
        <v>118</v>
      </c>
      <c r="M634" s="669">
        <v>109</v>
      </c>
      <c r="N634" s="668"/>
      <c r="O634" s="668">
        <v>10</v>
      </c>
      <c r="P634" s="668" t="str">
        <f>IFERROR(VLOOKUP(F634, [2]MOE!B:C, 2, FALSE), "No")</f>
        <v>No</v>
      </c>
      <c r="Q634" s="711"/>
      <c r="S634" s="670" t="s">
        <v>1507</v>
      </c>
      <c r="T634" s="668" t="s">
        <v>1039</v>
      </c>
    </row>
    <row r="635" spans="1:20">
      <c r="A635" s="679">
        <v>5001470</v>
      </c>
      <c r="B635" s="677"/>
      <c r="C635" s="672"/>
      <c r="D635" s="672"/>
      <c r="E635" s="676" t="s">
        <v>1137</v>
      </c>
      <c r="F635" s="680" t="s">
        <v>1521</v>
      </c>
      <c r="G635" s="710">
        <v>500</v>
      </c>
      <c r="H635" s="682">
        <v>1470</v>
      </c>
      <c r="J635" s="668" t="str">
        <f t="shared" si="98"/>
        <v>(3) Other Purchased Services</v>
      </c>
      <c r="L635" s="668">
        <v>119</v>
      </c>
      <c r="M635" s="669">
        <v>110</v>
      </c>
      <c r="N635" s="668"/>
      <c r="O635" s="668">
        <v>10</v>
      </c>
      <c r="P635" s="668" t="str">
        <f>IFERROR(VLOOKUP(F635, [2]MOE!B:C, 2, FALSE), "No")</f>
        <v>No</v>
      </c>
      <c r="Q635" s="711"/>
      <c r="S635" s="670" t="s">
        <v>1507</v>
      </c>
      <c r="T635" s="668" t="s">
        <v>252</v>
      </c>
    </row>
    <row r="636" spans="1:20">
      <c r="A636" s="671"/>
      <c r="B636" s="677"/>
      <c r="C636" s="672"/>
      <c r="D636" s="672" t="s">
        <v>850</v>
      </c>
      <c r="E636" s="676" t="s">
        <v>1042</v>
      </c>
      <c r="F636" s="675"/>
      <c r="G636" s="672"/>
      <c r="H636" s="676"/>
      <c r="Q636" s="711"/>
      <c r="S636" s="670"/>
    </row>
    <row r="637" spans="1:20">
      <c r="A637" s="679">
        <v>6151470</v>
      </c>
      <c r="B637" s="677"/>
      <c r="C637" s="672"/>
      <c r="D637" s="672"/>
      <c r="E637" s="676" t="s">
        <v>1139</v>
      </c>
      <c r="F637" s="680" t="s">
        <v>1522</v>
      </c>
      <c r="G637" s="710">
        <v>615</v>
      </c>
      <c r="H637" s="682">
        <v>1470</v>
      </c>
      <c r="J637" s="668" t="str">
        <f t="shared" ref="J637:J640" si="99">E637</f>
        <v>(1) Technology-Related Supplies</v>
      </c>
      <c r="L637" s="668">
        <v>126</v>
      </c>
      <c r="M637" s="669">
        <v>117</v>
      </c>
      <c r="N637" s="668"/>
      <c r="O637" s="668">
        <v>10</v>
      </c>
      <c r="P637" s="668" t="str">
        <f>IFERROR(VLOOKUP(F637, [2]MOE!B:C, 2, FALSE), "No")</f>
        <v>No</v>
      </c>
      <c r="Q637" s="711" t="s">
        <v>1045</v>
      </c>
      <c r="S637" s="670" t="s">
        <v>1507</v>
      </c>
      <c r="T637" s="668" t="s">
        <v>1043</v>
      </c>
    </row>
    <row r="638" spans="1:20">
      <c r="A638" s="679">
        <v>6101470</v>
      </c>
      <c r="B638" s="677"/>
      <c r="C638" s="672"/>
      <c r="D638" s="672"/>
      <c r="E638" s="676" t="s">
        <v>1141</v>
      </c>
      <c r="F638" s="680" t="s">
        <v>1523</v>
      </c>
      <c r="G638" s="710">
        <v>610</v>
      </c>
      <c r="H638" s="682">
        <v>1470</v>
      </c>
      <c r="J638" s="668" t="str">
        <f t="shared" si="99"/>
        <v>(2) Materials and Supplies</v>
      </c>
      <c r="L638" s="668">
        <v>122</v>
      </c>
      <c r="M638" s="669">
        <v>113</v>
      </c>
      <c r="N638" s="668"/>
      <c r="O638" s="668">
        <v>10</v>
      </c>
      <c r="P638" s="668" t="str">
        <f>IFERROR(VLOOKUP(F638, [2]MOE!B:C, 2, FALSE), "No")</f>
        <v>No</v>
      </c>
      <c r="Q638" s="711" t="s">
        <v>1045</v>
      </c>
      <c r="S638" s="670" t="s">
        <v>1507</v>
      </c>
      <c r="T638" s="668" t="s">
        <v>39</v>
      </c>
    </row>
    <row r="639" spans="1:20">
      <c r="A639" s="679">
        <v>6421470</v>
      </c>
      <c r="B639" s="677"/>
      <c r="C639" s="672"/>
      <c r="D639" s="672"/>
      <c r="E639" s="676" t="s">
        <v>1143</v>
      </c>
      <c r="F639" s="680" t="s">
        <v>1524</v>
      </c>
      <c r="G639" s="710">
        <v>642</v>
      </c>
      <c r="H639" s="682">
        <v>1470</v>
      </c>
      <c r="J639" s="668" t="str">
        <f t="shared" si="99"/>
        <v>(3) Textbooks/Workbooks</v>
      </c>
      <c r="L639" s="668">
        <v>125</v>
      </c>
      <c r="M639" s="669">
        <v>116</v>
      </c>
      <c r="N639" s="668"/>
      <c r="O639" s="668">
        <v>10</v>
      </c>
      <c r="P639" s="668" t="str">
        <f>IFERROR(VLOOKUP(F639, [2]MOE!B:C, 2, FALSE), "No")</f>
        <v>No</v>
      </c>
      <c r="Q639" s="711" t="s">
        <v>1045</v>
      </c>
      <c r="S639" s="670" t="s">
        <v>1507</v>
      </c>
      <c r="T639" s="668" t="s">
        <v>1048</v>
      </c>
    </row>
    <row r="640" spans="1:20">
      <c r="A640" s="679">
        <v>6001470</v>
      </c>
      <c r="B640" s="719"/>
      <c r="C640" s="681"/>
      <c r="D640" s="681"/>
      <c r="E640" s="686" t="s">
        <v>1145</v>
      </c>
      <c r="F640" s="680" t="s">
        <v>1525</v>
      </c>
      <c r="G640" s="710">
        <v>600</v>
      </c>
      <c r="H640" s="682">
        <v>1470</v>
      </c>
      <c r="J640" s="668" t="str">
        <f t="shared" si="99"/>
        <v>(4) Other Supplies</v>
      </c>
      <c r="L640" s="668">
        <v>126</v>
      </c>
      <c r="M640" s="669">
        <v>117</v>
      </c>
      <c r="N640" s="668"/>
      <c r="O640" s="668">
        <v>10</v>
      </c>
      <c r="P640" s="668" t="str">
        <f>IFERROR(VLOOKUP(F640, [2]MOE!B:C, 2, FALSE), "No")</f>
        <v>No</v>
      </c>
      <c r="Q640" s="711"/>
      <c r="S640" s="670" t="s">
        <v>1507</v>
      </c>
      <c r="T640" s="668" t="s">
        <v>1050</v>
      </c>
    </row>
    <row r="641" spans="1:20">
      <c r="A641" s="671"/>
      <c r="B641" s="677"/>
      <c r="C641" s="672"/>
      <c r="D641" s="672" t="s">
        <v>853</v>
      </c>
      <c r="E641" s="676" t="s">
        <v>1052</v>
      </c>
      <c r="F641" s="675"/>
      <c r="G641" s="672"/>
      <c r="H641" s="676"/>
      <c r="Q641" s="711"/>
      <c r="S641" s="670"/>
    </row>
    <row r="642" spans="1:20">
      <c r="A642" s="679">
        <v>7341470</v>
      </c>
      <c r="B642" s="677"/>
      <c r="C642" s="672"/>
      <c r="D642" s="672"/>
      <c r="E642" s="676" t="s">
        <v>1147</v>
      </c>
      <c r="F642" s="680" t="s">
        <v>1526</v>
      </c>
      <c r="G642" s="710">
        <v>734</v>
      </c>
      <c r="H642" s="682">
        <v>1470</v>
      </c>
      <c r="J642" s="668" t="str">
        <f t="shared" ref="J642:J645" si="100">E642</f>
        <v>(1) Technology-Related Hardware</v>
      </c>
      <c r="L642" s="668">
        <v>131</v>
      </c>
      <c r="M642" s="669">
        <v>122</v>
      </c>
      <c r="N642" s="668"/>
      <c r="O642" s="668">
        <v>10</v>
      </c>
      <c r="P642" s="668" t="str">
        <f>IFERROR(VLOOKUP(F642, [2]MOE!B:C, 2, FALSE), "No")</f>
        <v>No</v>
      </c>
      <c r="Q642" s="711"/>
      <c r="S642" s="670" t="s">
        <v>1507</v>
      </c>
      <c r="T642" s="668" t="s">
        <v>1053</v>
      </c>
    </row>
    <row r="643" spans="1:20">
      <c r="A643" s="679">
        <v>7351470</v>
      </c>
      <c r="B643" s="677"/>
      <c r="C643" s="672"/>
      <c r="D643" s="672"/>
      <c r="E643" s="676" t="s">
        <v>1149</v>
      </c>
      <c r="F643" s="680" t="s">
        <v>1527</v>
      </c>
      <c r="G643" s="710">
        <v>735</v>
      </c>
      <c r="H643" s="682">
        <v>1470</v>
      </c>
      <c r="J643" s="668" t="str">
        <f t="shared" si="100"/>
        <v>(2) Technology Software</v>
      </c>
      <c r="L643" s="668">
        <v>131</v>
      </c>
      <c r="M643" s="669">
        <v>122</v>
      </c>
      <c r="N643" s="668"/>
      <c r="O643" s="668">
        <v>10</v>
      </c>
      <c r="P643" s="668" t="str">
        <f>IFERROR(VLOOKUP(F643, [2]MOE!B:C, 2, FALSE), "No")</f>
        <v>No</v>
      </c>
      <c r="Q643" s="711"/>
      <c r="S643" s="670" t="s">
        <v>1507</v>
      </c>
      <c r="T643" s="668" t="s">
        <v>1055</v>
      </c>
    </row>
    <row r="644" spans="1:20">
      <c r="A644" s="679">
        <v>7301470</v>
      </c>
      <c r="B644" s="677"/>
      <c r="C644" s="672"/>
      <c r="D644" s="672"/>
      <c r="E644" s="676" t="s">
        <v>1151</v>
      </c>
      <c r="F644" s="680" t="s">
        <v>1528</v>
      </c>
      <c r="G644" s="710">
        <v>730</v>
      </c>
      <c r="H644" s="682">
        <v>1470</v>
      </c>
      <c r="J644" s="668" t="str">
        <f t="shared" si="100"/>
        <v>(3) All Other Equipment</v>
      </c>
      <c r="L644" s="668">
        <v>131</v>
      </c>
      <c r="M644" s="669">
        <v>122</v>
      </c>
      <c r="N644" s="668"/>
      <c r="O644" s="668">
        <v>10</v>
      </c>
      <c r="P644" s="668" t="str">
        <f>IFERROR(VLOOKUP(F644, [2]MOE!B:C, 2, FALSE), "No")</f>
        <v>No</v>
      </c>
      <c r="Q644" s="711"/>
      <c r="S644" s="670" t="s">
        <v>1507</v>
      </c>
      <c r="T644" s="668" t="s">
        <v>1057</v>
      </c>
    </row>
    <row r="645" spans="1:20">
      <c r="A645" s="679">
        <v>7001470</v>
      </c>
      <c r="B645" s="677"/>
      <c r="C645" s="672"/>
      <c r="D645" s="672"/>
      <c r="E645" s="676" t="s">
        <v>1153</v>
      </c>
      <c r="F645" s="680" t="s">
        <v>1529</v>
      </c>
      <c r="G645" s="710">
        <v>700</v>
      </c>
      <c r="H645" s="682">
        <v>1470</v>
      </c>
      <c r="J645" s="668" t="str">
        <f t="shared" si="100"/>
        <v>(4) Other Property</v>
      </c>
      <c r="L645" s="668">
        <v>132</v>
      </c>
      <c r="M645" s="669">
        <v>123</v>
      </c>
      <c r="N645" s="668"/>
      <c r="O645" s="668">
        <v>10</v>
      </c>
      <c r="P645" s="668" t="str">
        <f>IFERROR(VLOOKUP(F645, [2]MOE!B:C, 2, FALSE), "No")</f>
        <v>No</v>
      </c>
      <c r="Q645" s="711"/>
      <c r="S645" s="670" t="s">
        <v>1507</v>
      </c>
      <c r="T645" s="668" t="s">
        <v>1059</v>
      </c>
    </row>
    <row r="646" spans="1:20">
      <c r="A646" s="671"/>
      <c r="B646" s="677"/>
      <c r="C646" s="672"/>
      <c r="D646" s="672" t="s">
        <v>856</v>
      </c>
      <c r="E646" s="676" t="s">
        <v>256</v>
      </c>
      <c r="F646" s="675"/>
      <c r="G646" s="672"/>
      <c r="H646" s="676"/>
      <c r="Q646" s="711"/>
      <c r="S646" s="670"/>
    </row>
    <row r="647" spans="1:20">
      <c r="A647" s="679">
        <v>8951470</v>
      </c>
      <c r="B647" s="677"/>
      <c r="C647" s="672"/>
      <c r="D647" s="672"/>
      <c r="E647" s="676" t="s">
        <v>1155</v>
      </c>
      <c r="F647" s="680" t="s">
        <v>1530</v>
      </c>
      <c r="G647" s="710">
        <v>895</v>
      </c>
      <c r="H647" s="682">
        <v>1470</v>
      </c>
      <c r="J647" s="668" t="str">
        <f t="shared" ref="J647:J648" si="101">E647</f>
        <v>(1) Miscellaneous Non-Public Expenditures</v>
      </c>
      <c r="L647" s="668">
        <v>139</v>
      </c>
      <c r="M647" s="669">
        <v>129</v>
      </c>
      <c r="N647" s="668"/>
      <c r="O647" s="668">
        <v>10</v>
      </c>
      <c r="P647" s="668" t="str">
        <f>IFERROR(VLOOKUP(F647, [2]MOE!B:C, 2, FALSE), "No")</f>
        <v>No</v>
      </c>
      <c r="Q647" s="711"/>
      <c r="S647" s="670" t="s">
        <v>1507</v>
      </c>
      <c r="T647" s="668" t="s">
        <v>1061</v>
      </c>
    </row>
    <row r="648" spans="1:20">
      <c r="A648" s="679">
        <v>8001470</v>
      </c>
      <c r="B648" s="677"/>
      <c r="C648" s="672"/>
      <c r="D648" s="672"/>
      <c r="E648" s="676" t="s">
        <v>1157</v>
      </c>
      <c r="F648" s="680" t="s">
        <v>1531</v>
      </c>
      <c r="G648" s="710">
        <v>800</v>
      </c>
      <c r="H648" s="682">
        <v>1470</v>
      </c>
      <c r="J648" s="668" t="str">
        <f t="shared" si="101"/>
        <v>(2) Other Miscellaneous Expenditures</v>
      </c>
      <c r="L648" s="668">
        <v>139</v>
      </c>
      <c r="M648" s="669">
        <v>129</v>
      </c>
      <c r="N648" s="668"/>
      <c r="O648" s="668">
        <v>10</v>
      </c>
      <c r="P648" s="668" t="str">
        <f>IFERROR(VLOOKUP(F648, [2]MOE!B:C, 2, FALSE), "No")</f>
        <v>No</v>
      </c>
      <c r="Q648" s="711"/>
      <c r="S648" s="670" t="s">
        <v>1507</v>
      </c>
      <c r="T648" s="668" t="s">
        <v>1063</v>
      </c>
    </row>
    <row r="649" spans="1:20">
      <c r="A649" s="671"/>
      <c r="B649" s="677"/>
      <c r="C649" s="672"/>
      <c r="D649" s="672" t="s">
        <v>859</v>
      </c>
      <c r="E649" s="676" t="s">
        <v>1065</v>
      </c>
      <c r="F649" s="675"/>
      <c r="G649" s="672"/>
      <c r="H649" s="676"/>
      <c r="Q649" s="711"/>
      <c r="S649" s="670"/>
    </row>
    <row r="650" spans="1:20">
      <c r="A650" s="679">
        <v>2101470</v>
      </c>
      <c r="B650" s="677"/>
      <c r="C650" s="672"/>
      <c r="D650" s="672"/>
      <c r="E650" s="676" t="s">
        <v>1159</v>
      </c>
      <c r="F650" s="680" t="s">
        <v>1532</v>
      </c>
      <c r="G650" s="710">
        <v>210</v>
      </c>
      <c r="H650" s="682">
        <v>1470</v>
      </c>
      <c r="J650" s="668" t="str">
        <f t="shared" ref="J650:J652" si="102">E650</f>
        <v>(1) Group Insurance</v>
      </c>
      <c r="L650" s="668">
        <v>89</v>
      </c>
      <c r="M650" s="669">
        <v>84</v>
      </c>
      <c r="N650" s="668"/>
      <c r="O650" s="668">
        <v>10</v>
      </c>
      <c r="P650" s="668" t="str">
        <f>IFERROR(VLOOKUP(F650, [2]MOE!B:C, 2, FALSE), "No")</f>
        <v>No</v>
      </c>
      <c r="Q650" s="711" t="s">
        <v>1004</v>
      </c>
      <c r="S650" s="670" t="s">
        <v>1507</v>
      </c>
      <c r="T650" s="668" t="s">
        <v>1066</v>
      </c>
    </row>
    <row r="651" spans="1:20">
      <c r="A651" s="679">
        <v>2201470</v>
      </c>
      <c r="B651" s="677"/>
      <c r="C651" s="672"/>
      <c r="D651" s="672"/>
      <c r="E651" s="676" t="s">
        <v>1161</v>
      </c>
      <c r="F651" s="680" t="s">
        <v>1533</v>
      </c>
      <c r="G651" s="710">
        <v>220</v>
      </c>
      <c r="H651" s="682">
        <v>1470</v>
      </c>
      <c r="J651" s="668" t="str">
        <f t="shared" si="102"/>
        <v>(2) FICA</v>
      </c>
      <c r="L651" s="668">
        <v>90</v>
      </c>
      <c r="M651" s="669">
        <v>85</v>
      </c>
      <c r="N651" s="668"/>
      <c r="O651" s="668">
        <v>10</v>
      </c>
      <c r="P651" s="668" t="str">
        <f>IFERROR(VLOOKUP(F651, [2]MOE!B:C, 2, FALSE), "No")</f>
        <v>No</v>
      </c>
      <c r="Q651" s="711" t="s">
        <v>1004</v>
      </c>
      <c r="S651" s="670" t="s">
        <v>1507</v>
      </c>
      <c r="T651" s="668" t="s">
        <v>1068</v>
      </c>
    </row>
    <row r="652" spans="1:20">
      <c r="A652" s="679">
        <v>2251470</v>
      </c>
      <c r="B652" s="677"/>
      <c r="C652" s="672"/>
      <c r="D652" s="672"/>
      <c r="E652" s="676" t="s">
        <v>1163</v>
      </c>
      <c r="F652" s="680" t="s">
        <v>1534</v>
      </c>
      <c r="G652" s="710">
        <v>225</v>
      </c>
      <c r="H652" s="682">
        <v>1470</v>
      </c>
      <c r="J652" s="668" t="str">
        <f t="shared" si="102"/>
        <v>(3) Medicare</v>
      </c>
      <c r="L652" s="668">
        <v>91</v>
      </c>
      <c r="M652" s="669">
        <v>86</v>
      </c>
      <c r="N652" s="668"/>
      <c r="O652" s="668">
        <v>10</v>
      </c>
      <c r="P652" s="668" t="str">
        <f>IFERROR(VLOOKUP(F652, [2]MOE!B:C, 2, FALSE), "No")</f>
        <v>No</v>
      </c>
      <c r="Q652" s="711" t="s">
        <v>1004</v>
      </c>
      <c r="S652" s="670" t="s">
        <v>1507</v>
      </c>
      <c r="T652" s="668" t="s">
        <v>23</v>
      </c>
    </row>
    <row r="653" spans="1:20">
      <c r="A653" s="671"/>
      <c r="B653" s="677"/>
      <c r="C653" s="672"/>
      <c r="D653" s="672"/>
      <c r="E653" s="676" t="s">
        <v>1165</v>
      </c>
      <c r="F653" s="675"/>
      <c r="G653" s="672"/>
      <c r="H653" s="676"/>
      <c r="Q653" s="711"/>
      <c r="S653" s="670"/>
    </row>
    <row r="654" spans="1:20">
      <c r="A654" s="679">
        <v>2311470</v>
      </c>
      <c r="B654" s="677"/>
      <c r="C654" s="672"/>
      <c r="D654" s="672"/>
      <c r="E654" s="676" t="s">
        <v>1166</v>
      </c>
      <c r="F654" s="680" t="s">
        <v>1535</v>
      </c>
      <c r="G654" s="710">
        <v>231</v>
      </c>
      <c r="H654" s="682">
        <v>1470</v>
      </c>
      <c r="J654" s="668" t="str">
        <f t="shared" ref="J654:J662" si="103">E654</f>
        <v>(a) Louisiana Teachers Retirement</v>
      </c>
      <c r="L654" s="668">
        <v>92</v>
      </c>
      <c r="M654" s="669">
        <v>87</v>
      </c>
      <c r="N654" s="668"/>
      <c r="O654" s="668">
        <v>10</v>
      </c>
      <c r="P654" s="668" t="str">
        <f>IFERROR(VLOOKUP(F654, [2]MOE!B:C, 2, FALSE), "No")</f>
        <v>No</v>
      </c>
      <c r="Q654" s="711" t="s">
        <v>1004</v>
      </c>
      <c r="S654" s="670" t="s">
        <v>1507</v>
      </c>
      <c r="T654" s="668" t="s">
        <v>1074</v>
      </c>
    </row>
    <row r="655" spans="1:20">
      <c r="A655" s="679">
        <v>2331470</v>
      </c>
      <c r="B655" s="677"/>
      <c r="C655" s="672"/>
      <c r="D655" s="672"/>
      <c r="E655" s="676" t="s">
        <v>1168</v>
      </c>
      <c r="F655" s="680" t="s">
        <v>1536</v>
      </c>
      <c r="G655" s="710">
        <v>233</v>
      </c>
      <c r="H655" s="682">
        <v>1470</v>
      </c>
      <c r="J655" s="668" t="str">
        <f t="shared" si="103"/>
        <v>(b) Louisiana School Emp. Retirement</v>
      </c>
      <c r="L655" s="668">
        <v>92</v>
      </c>
      <c r="M655" s="669">
        <v>87</v>
      </c>
      <c r="N655" s="668"/>
      <c r="O655" s="668">
        <v>10</v>
      </c>
      <c r="P655" s="668" t="str">
        <f>IFERROR(VLOOKUP(F655, [2]MOE!B:C, 2, FALSE), "No")</f>
        <v>No</v>
      </c>
      <c r="Q655" s="711" t="s">
        <v>1004</v>
      </c>
      <c r="S655" s="670" t="s">
        <v>1507</v>
      </c>
      <c r="T655" s="668" t="s">
        <v>1170</v>
      </c>
    </row>
    <row r="656" spans="1:20">
      <c r="A656" s="679">
        <v>2391470</v>
      </c>
      <c r="B656" s="677"/>
      <c r="C656" s="672"/>
      <c r="D656" s="672"/>
      <c r="E656" s="676" t="s">
        <v>1171</v>
      </c>
      <c r="F656" s="680" t="s">
        <v>1537</v>
      </c>
      <c r="G656" s="710">
        <v>239</v>
      </c>
      <c r="H656" s="682">
        <v>1470</v>
      </c>
      <c r="J656" s="668" t="str">
        <f t="shared" si="103"/>
        <v>(c) Other Retirement</v>
      </c>
      <c r="L656" s="668">
        <v>92</v>
      </c>
      <c r="M656" s="669">
        <v>87</v>
      </c>
      <c r="N656" s="668"/>
      <c r="O656" s="668">
        <v>10</v>
      </c>
      <c r="P656" s="668" t="str">
        <f>IFERROR(VLOOKUP(F656, [2]MOE!B:C, 2, FALSE), "No")</f>
        <v>No</v>
      </c>
      <c r="Q656" s="711" t="s">
        <v>1004</v>
      </c>
      <c r="S656" s="670" t="s">
        <v>1507</v>
      </c>
      <c r="T656" s="668" t="s">
        <v>1080</v>
      </c>
    </row>
    <row r="657" spans="1:20">
      <c r="A657" s="679">
        <v>2501470</v>
      </c>
      <c r="B657" s="677"/>
      <c r="C657" s="672"/>
      <c r="D657" s="672"/>
      <c r="E657" s="676" t="s">
        <v>1173</v>
      </c>
      <c r="F657" s="680" t="s">
        <v>1538</v>
      </c>
      <c r="G657" s="710">
        <v>250</v>
      </c>
      <c r="H657" s="682">
        <v>1470</v>
      </c>
      <c r="J657" s="668" t="str">
        <f t="shared" si="103"/>
        <v>(5) Unemployment Compensation</v>
      </c>
      <c r="L657" s="668">
        <v>93</v>
      </c>
      <c r="M657" s="669">
        <v>88</v>
      </c>
      <c r="N657" s="668"/>
      <c r="O657" s="668">
        <v>10</v>
      </c>
      <c r="P657" s="668" t="str">
        <f>IFERROR(VLOOKUP(F657, [2]MOE!B:C, 2, FALSE), "No")</f>
        <v>No</v>
      </c>
      <c r="Q657" s="711" t="s">
        <v>1004</v>
      </c>
      <c r="S657" s="670" t="s">
        <v>1507</v>
      </c>
      <c r="T657" s="668" t="s">
        <v>1081</v>
      </c>
    </row>
    <row r="658" spans="1:20">
      <c r="A658" s="679">
        <v>2601470</v>
      </c>
      <c r="B658" s="677"/>
      <c r="C658" s="672"/>
      <c r="D658" s="672"/>
      <c r="E658" s="676" t="s">
        <v>1175</v>
      </c>
      <c r="F658" s="680" t="s">
        <v>1539</v>
      </c>
      <c r="G658" s="710">
        <v>260</v>
      </c>
      <c r="H658" s="682">
        <v>1470</v>
      </c>
      <c r="J658" s="668" t="str">
        <f t="shared" si="103"/>
        <v>(6) Workmen's Compensation</v>
      </c>
      <c r="L658" s="668">
        <v>95</v>
      </c>
      <c r="M658" s="669">
        <v>90</v>
      </c>
      <c r="N658" s="668"/>
      <c r="O658" s="668">
        <v>10</v>
      </c>
      <c r="P658" s="668" t="str">
        <f>IFERROR(VLOOKUP(F658, [2]MOE!B:C, 2, FALSE), "No")</f>
        <v>No</v>
      </c>
      <c r="Q658" s="711" t="s">
        <v>1004</v>
      </c>
      <c r="S658" s="670" t="s">
        <v>1507</v>
      </c>
      <c r="T658" s="668" t="s">
        <v>1083</v>
      </c>
    </row>
    <row r="659" spans="1:20">
      <c r="A659" s="679">
        <v>2701470</v>
      </c>
      <c r="B659" s="677"/>
      <c r="C659" s="672"/>
      <c r="D659" s="672"/>
      <c r="E659" s="676" t="s">
        <v>1177</v>
      </c>
      <c r="F659" s="680" t="s">
        <v>1540</v>
      </c>
      <c r="G659" s="710">
        <v>270</v>
      </c>
      <c r="H659" s="682">
        <v>1470</v>
      </c>
      <c r="J659" s="668" t="str">
        <f t="shared" si="103"/>
        <v>(7) Health Benefits (retirees)</v>
      </c>
      <c r="L659" s="668">
        <v>94</v>
      </c>
      <c r="M659" s="669">
        <v>89</v>
      </c>
      <c r="N659" s="668"/>
      <c r="O659" s="668">
        <v>10</v>
      </c>
      <c r="P659" s="668" t="str">
        <f>IFERROR(VLOOKUP(F659, [2]MOE!B:C, 2, FALSE), "No")</f>
        <v>No</v>
      </c>
      <c r="Q659" s="711" t="s">
        <v>1004</v>
      </c>
      <c r="S659" s="670" t="s">
        <v>1507</v>
      </c>
      <c r="T659" s="668" t="s">
        <v>1085</v>
      </c>
    </row>
    <row r="660" spans="1:20">
      <c r="A660" s="679">
        <v>2811470</v>
      </c>
      <c r="B660" s="677"/>
      <c r="C660" s="672"/>
      <c r="D660" s="672"/>
      <c r="E660" s="676" t="s">
        <v>1179</v>
      </c>
      <c r="F660" s="680" t="s">
        <v>1541</v>
      </c>
      <c r="G660" s="710">
        <v>281</v>
      </c>
      <c r="H660" s="682">
        <v>1470</v>
      </c>
      <c r="J660" s="668" t="str">
        <f t="shared" si="103"/>
        <v>(8) Sick Leave Severance Pay</v>
      </c>
      <c r="L660" s="668">
        <v>95</v>
      </c>
      <c r="M660" s="669">
        <v>90</v>
      </c>
      <c r="N660" s="668"/>
      <c r="O660" s="668">
        <v>10</v>
      </c>
      <c r="P660" s="668" t="str">
        <f>IFERROR(VLOOKUP(F660, [2]MOE!B:C, 2, FALSE), "No")</f>
        <v>No</v>
      </c>
      <c r="Q660" s="711" t="s">
        <v>1004</v>
      </c>
      <c r="S660" s="670" t="s">
        <v>1507</v>
      </c>
      <c r="T660" s="668" t="s">
        <v>1087</v>
      </c>
    </row>
    <row r="661" spans="1:20">
      <c r="A661" s="679">
        <v>2821470</v>
      </c>
      <c r="B661" s="677"/>
      <c r="C661" s="672"/>
      <c r="D661" s="672"/>
      <c r="E661" s="676" t="s">
        <v>1181</v>
      </c>
      <c r="F661" s="680" t="s">
        <v>1542</v>
      </c>
      <c r="G661" s="710">
        <v>282</v>
      </c>
      <c r="H661" s="682">
        <v>1470</v>
      </c>
      <c r="J661" s="668" t="str">
        <f t="shared" si="103"/>
        <v>(9) Annual Leave Severance Pay</v>
      </c>
      <c r="L661" s="668">
        <v>95</v>
      </c>
      <c r="M661" s="669">
        <v>90</v>
      </c>
      <c r="N661" s="668"/>
      <c r="O661" s="668">
        <v>10</v>
      </c>
      <c r="P661" s="668" t="str">
        <f>IFERROR(VLOOKUP(F661, [2]MOE!B:C, 2, FALSE), "No")</f>
        <v>No</v>
      </c>
      <c r="Q661" s="711" t="s">
        <v>1004</v>
      </c>
      <c r="S661" s="670" t="s">
        <v>1507</v>
      </c>
      <c r="T661" s="668" t="s">
        <v>1089</v>
      </c>
    </row>
    <row r="662" spans="1:20">
      <c r="A662" s="679">
        <v>2901470</v>
      </c>
      <c r="B662" s="677"/>
      <c r="C662" s="672"/>
      <c r="D662" s="672"/>
      <c r="E662" s="676" t="s">
        <v>1183</v>
      </c>
      <c r="F662" s="680" t="s">
        <v>1543</v>
      </c>
      <c r="G662" s="710">
        <v>290</v>
      </c>
      <c r="H662" s="682">
        <v>1470</v>
      </c>
      <c r="J662" s="668" t="str">
        <f t="shared" si="103"/>
        <v>(10) Other Employee Benefits</v>
      </c>
      <c r="L662" s="668">
        <v>95</v>
      </c>
      <c r="M662" s="669">
        <v>90</v>
      </c>
      <c r="N662" s="668"/>
      <c r="O662" s="668">
        <v>10</v>
      </c>
      <c r="P662" s="668" t="str">
        <f>IFERROR(VLOOKUP(F662, [2]MOE!B:C, 2, FALSE), "No")</f>
        <v>No</v>
      </c>
      <c r="Q662" s="711" t="s">
        <v>1004</v>
      </c>
      <c r="S662" s="670" t="s">
        <v>1507</v>
      </c>
      <c r="T662" s="668" t="s">
        <v>1092</v>
      </c>
    </row>
    <row r="663" spans="1:20">
      <c r="A663" s="671"/>
      <c r="B663" s="677"/>
      <c r="C663" s="678">
        <v>25</v>
      </c>
      <c r="D663" s="927" t="s">
        <v>1544</v>
      </c>
      <c r="E663" s="926"/>
      <c r="F663" s="675"/>
      <c r="G663" s="672"/>
      <c r="H663" s="676"/>
      <c r="Q663" s="711"/>
      <c r="S663" s="670"/>
    </row>
    <row r="664" spans="1:20">
      <c r="A664" s="671"/>
      <c r="B664" s="677"/>
      <c r="C664" s="672"/>
      <c r="D664" s="672" t="s">
        <v>759</v>
      </c>
      <c r="E664" s="676" t="s">
        <v>244</v>
      </c>
      <c r="F664" s="675"/>
      <c r="G664" s="672"/>
      <c r="H664" s="676"/>
      <c r="Q664" s="711"/>
      <c r="S664" s="670"/>
    </row>
    <row r="665" spans="1:20">
      <c r="A665" s="679">
        <v>1121480</v>
      </c>
      <c r="B665" s="677"/>
      <c r="C665" s="672"/>
      <c r="D665" s="672"/>
      <c r="E665" s="676" t="s">
        <v>1098</v>
      </c>
      <c r="F665" s="680" t="s">
        <v>1545</v>
      </c>
      <c r="G665" s="710">
        <v>112</v>
      </c>
      <c r="H665" s="682">
        <v>1480</v>
      </c>
      <c r="J665" s="668" t="str">
        <f t="shared" ref="J665:J671" si="104">E665</f>
        <v>(1) Teachers</v>
      </c>
      <c r="L665" s="668">
        <v>82</v>
      </c>
      <c r="M665" s="669">
        <v>77</v>
      </c>
      <c r="N665" s="668"/>
      <c r="O665" s="668">
        <v>10</v>
      </c>
      <c r="P665" s="668" t="str">
        <f>IFERROR(VLOOKUP(F665, [2]MOE!B:C, 2, FALSE), "No")</f>
        <v>No</v>
      </c>
      <c r="Q665" s="711" t="s">
        <v>1546</v>
      </c>
      <c r="S665" s="670" t="s">
        <v>1547</v>
      </c>
      <c r="T665" s="668" t="s">
        <v>5</v>
      </c>
    </row>
    <row r="666" spans="1:20">
      <c r="A666" s="679">
        <v>1151480</v>
      </c>
      <c r="B666" s="677"/>
      <c r="C666" s="672"/>
      <c r="D666" s="672"/>
      <c r="E666" s="676" t="s">
        <v>1100</v>
      </c>
      <c r="F666" s="680" t="s">
        <v>1548</v>
      </c>
      <c r="G666" s="710">
        <v>115</v>
      </c>
      <c r="H666" s="682">
        <v>1480</v>
      </c>
      <c r="J666" s="668" t="str">
        <f t="shared" si="104"/>
        <v>(2) Para-professionals (Aides)</v>
      </c>
      <c r="L666" s="668">
        <v>86</v>
      </c>
      <c r="M666" s="669">
        <v>81</v>
      </c>
      <c r="N666" s="668"/>
      <c r="O666" s="668">
        <v>10</v>
      </c>
      <c r="P666" s="668" t="str">
        <f>IFERROR(VLOOKUP(F666, [2]MOE!B:C, 2, FALSE), "No")</f>
        <v>No</v>
      </c>
      <c r="Q666" s="711" t="s">
        <v>1546</v>
      </c>
      <c r="S666" s="670" t="s">
        <v>1547</v>
      </c>
      <c r="T666" s="668" t="s">
        <v>1102</v>
      </c>
    </row>
    <row r="667" spans="1:20">
      <c r="A667" s="679">
        <v>1231480</v>
      </c>
      <c r="B667" s="677"/>
      <c r="C667" s="672"/>
      <c r="D667" s="672"/>
      <c r="E667" s="676" t="s">
        <v>1103</v>
      </c>
      <c r="F667" s="680" t="s">
        <v>1549</v>
      </c>
      <c r="G667" s="710">
        <v>123</v>
      </c>
      <c r="H667" s="682">
        <v>1480</v>
      </c>
      <c r="J667" s="668" t="str">
        <f t="shared" si="104"/>
        <v>(3) Substitute Teachers</v>
      </c>
      <c r="L667" s="668">
        <v>86</v>
      </c>
      <c r="M667" s="669">
        <v>81</v>
      </c>
      <c r="N667" s="668"/>
      <c r="O667" s="668">
        <v>10</v>
      </c>
      <c r="P667" s="668" t="str">
        <f>IFERROR(VLOOKUP(F667, [2]MOE!B:C, 2, FALSE), "No")</f>
        <v>No</v>
      </c>
      <c r="Q667" s="711" t="s">
        <v>1546</v>
      </c>
      <c r="S667" s="670" t="s">
        <v>1547</v>
      </c>
      <c r="T667" s="668" t="s">
        <v>1105</v>
      </c>
    </row>
    <row r="668" spans="1:20">
      <c r="A668" s="679">
        <v>1201480</v>
      </c>
      <c r="B668" s="677"/>
      <c r="C668" s="672"/>
      <c r="D668" s="672"/>
      <c r="E668" s="676" t="s">
        <v>1106</v>
      </c>
      <c r="F668" s="680" t="s">
        <v>1550</v>
      </c>
      <c r="G668" s="710">
        <v>120</v>
      </c>
      <c r="H668" s="682">
        <v>1480</v>
      </c>
      <c r="J668" s="668" t="str">
        <f t="shared" si="104"/>
        <v>(4) Other Substitute/Temp. Employees</v>
      </c>
      <c r="L668" s="668">
        <v>86</v>
      </c>
      <c r="M668" s="669">
        <v>81</v>
      </c>
      <c r="N668" s="668"/>
      <c r="O668" s="668">
        <v>10</v>
      </c>
      <c r="P668" s="668" t="str">
        <f>IFERROR(VLOOKUP(F668, [2]MOE!B:C, 2, FALSE), "No")</f>
        <v>No</v>
      </c>
      <c r="Q668" s="711" t="s">
        <v>1546</v>
      </c>
      <c r="S668" s="670" t="s">
        <v>1547</v>
      </c>
      <c r="T668" s="668" t="s">
        <v>1108</v>
      </c>
    </row>
    <row r="669" spans="1:20">
      <c r="A669" s="679">
        <v>1001480</v>
      </c>
      <c r="B669" s="677"/>
      <c r="C669" s="672"/>
      <c r="D669" s="672"/>
      <c r="E669" s="676" t="s">
        <v>1109</v>
      </c>
      <c r="F669" s="680" t="s">
        <v>1551</v>
      </c>
      <c r="G669" s="710">
        <v>100</v>
      </c>
      <c r="H669" s="682">
        <v>1480</v>
      </c>
      <c r="J669" s="668" t="str">
        <f t="shared" si="104"/>
        <v>(5) Other Instructional Salaries</v>
      </c>
      <c r="L669" s="668">
        <v>86</v>
      </c>
      <c r="M669" s="669">
        <v>81</v>
      </c>
      <c r="N669" s="668"/>
      <c r="O669" s="668">
        <v>10</v>
      </c>
      <c r="P669" s="668" t="str">
        <f>IFERROR(VLOOKUP(F669, [2]MOE!B:C, 2, FALSE), "No")</f>
        <v>No</v>
      </c>
      <c r="Q669" s="711" t="s">
        <v>1546</v>
      </c>
      <c r="S669" s="670" t="s">
        <v>1547</v>
      </c>
      <c r="T669" s="668" t="s">
        <v>1017</v>
      </c>
    </row>
    <row r="670" spans="1:20">
      <c r="A670" s="679">
        <v>1401480</v>
      </c>
      <c r="B670" s="677"/>
      <c r="C670" s="672"/>
      <c r="D670" s="672"/>
      <c r="E670" s="676" t="s">
        <v>1111</v>
      </c>
      <c r="F670" s="680" t="s">
        <v>1552</v>
      </c>
      <c r="G670" s="710">
        <v>140</v>
      </c>
      <c r="H670" s="682">
        <v>1480</v>
      </c>
      <c r="J670" s="668" t="str">
        <f t="shared" si="104"/>
        <v>(6) Sabbatical Leave</v>
      </c>
      <c r="L670" s="668">
        <v>86</v>
      </c>
      <c r="M670" s="669">
        <v>81</v>
      </c>
      <c r="N670" s="668"/>
      <c r="O670" s="668">
        <v>10</v>
      </c>
      <c r="P670" s="668" t="str">
        <f>IFERROR(VLOOKUP(F670, [2]MOE!B:C, 2, FALSE), "No")</f>
        <v>No</v>
      </c>
      <c r="Q670" s="711" t="s">
        <v>1546</v>
      </c>
      <c r="S670" s="670" t="s">
        <v>1547</v>
      </c>
      <c r="T670" s="668" t="s">
        <v>1019</v>
      </c>
    </row>
    <row r="671" spans="1:20">
      <c r="A671" s="679">
        <v>3001480</v>
      </c>
      <c r="B671" s="677"/>
      <c r="C671" s="672"/>
      <c r="D671" s="672" t="s">
        <v>777</v>
      </c>
      <c r="E671" s="676" t="s">
        <v>1113</v>
      </c>
      <c r="F671" s="680" t="s">
        <v>1553</v>
      </c>
      <c r="G671" s="710">
        <v>300</v>
      </c>
      <c r="H671" s="682">
        <v>1480</v>
      </c>
      <c r="J671" s="668" t="str">
        <f t="shared" si="104"/>
        <v>Purchased Professional and Technical Svcs</v>
      </c>
      <c r="L671" s="668">
        <v>101</v>
      </c>
      <c r="M671" s="669">
        <v>96</v>
      </c>
      <c r="N671" s="668"/>
      <c r="O671" s="668">
        <v>10</v>
      </c>
      <c r="P671" s="668" t="str">
        <f>IFERROR(VLOOKUP(F671, [2]MOE!B:C, 2, FALSE), "No")</f>
        <v>No</v>
      </c>
      <c r="Q671" s="711" t="s">
        <v>1546</v>
      </c>
      <c r="S671" s="670" t="s">
        <v>1547</v>
      </c>
      <c r="T671" s="668" t="s">
        <v>1113</v>
      </c>
    </row>
    <row r="672" spans="1:20">
      <c r="A672" s="671"/>
      <c r="B672" s="677"/>
      <c r="C672" s="672"/>
      <c r="D672" s="672" t="s">
        <v>801</v>
      </c>
      <c r="E672" s="676" t="s">
        <v>250</v>
      </c>
      <c r="F672" s="675"/>
      <c r="G672" s="672"/>
      <c r="H672" s="676"/>
      <c r="Q672" s="711"/>
      <c r="S672" s="670"/>
    </row>
    <row r="673" spans="1:20">
      <c r="A673" s="679">
        <v>4301480</v>
      </c>
      <c r="B673" s="677"/>
      <c r="C673" s="672"/>
      <c r="D673" s="672"/>
      <c r="E673" s="676" t="s">
        <v>1115</v>
      </c>
      <c r="F673" s="680" t="s">
        <v>1554</v>
      </c>
      <c r="G673" s="710">
        <v>430</v>
      </c>
      <c r="H673" s="682">
        <v>1480</v>
      </c>
      <c r="J673" s="668" t="str">
        <f t="shared" ref="J673:J675" si="105">E673</f>
        <v>(1) Repairs and Maintenance Services</v>
      </c>
      <c r="L673" s="668">
        <v>107</v>
      </c>
      <c r="M673" s="669">
        <v>102</v>
      </c>
      <c r="N673" s="668"/>
      <c r="O673" s="668">
        <v>10</v>
      </c>
      <c r="P673" s="668" t="str">
        <f>IFERROR(VLOOKUP(F673, [2]MOE!B:C, 2, FALSE), "No")</f>
        <v>No</v>
      </c>
      <c r="Q673" s="711" t="s">
        <v>1546</v>
      </c>
      <c r="S673" s="670" t="s">
        <v>1547</v>
      </c>
      <c r="T673" s="668" t="s">
        <v>1023</v>
      </c>
    </row>
    <row r="674" spans="1:20">
      <c r="A674" s="679">
        <v>4421480</v>
      </c>
      <c r="B674" s="677"/>
      <c r="C674" s="672"/>
      <c r="D674" s="672"/>
      <c r="E674" s="676" t="s">
        <v>1117</v>
      </c>
      <c r="F674" s="680" t="s">
        <v>1555</v>
      </c>
      <c r="G674" s="710">
        <v>442</v>
      </c>
      <c r="H674" s="682">
        <v>1480</v>
      </c>
      <c r="J674" s="668" t="str">
        <f t="shared" si="105"/>
        <v>(2) Rental of Equipment</v>
      </c>
      <c r="L674" s="668">
        <v>106</v>
      </c>
      <c r="M674" s="669">
        <v>101</v>
      </c>
      <c r="N674" s="668"/>
      <c r="O674" s="668">
        <v>10</v>
      </c>
      <c r="P674" s="668" t="str">
        <f>IFERROR(VLOOKUP(F674, [2]MOE!B:C, 2, FALSE), "No")</f>
        <v>No</v>
      </c>
      <c r="Q674" s="711" t="s">
        <v>1546</v>
      </c>
      <c r="S674" s="670" t="s">
        <v>1547</v>
      </c>
      <c r="T674" s="668" t="s">
        <v>1025</v>
      </c>
    </row>
    <row r="675" spans="1:20">
      <c r="A675" s="679">
        <v>4001480</v>
      </c>
      <c r="B675" s="677"/>
      <c r="C675" s="672"/>
      <c r="D675" s="672"/>
      <c r="E675" s="676" t="s">
        <v>1119</v>
      </c>
      <c r="F675" s="680" t="s">
        <v>1556</v>
      </c>
      <c r="G675" s="710">
        <v>400</v>
      </c>
      <c r="H675" s="682">
        <v>1480</v>
      </c>
      <c r="J675" s="668" t="str">
        <f t="shared" si="105"/>
        <v>(3) Other Purchased Property Services</v>
      </c>
      <c r="L675" s="668">
        <v>108</v>
      </c>
      <c r="M675" s="669">
        <v>103</v>
      </c>
      <c r="N675" s="668"/>
      <c r="O675" s="668">
        <v>10</v>
      </c>
      <c r="P675" s="668" t="str">
        <f>IFERROR(VLOOKUP(F675, [2]MOE!B:C, 2, FALSE), "No")</f>
        <v>No</v>
      </c>
      <c r="Q675" s="711" t="s">
        <v>1546</v>
      </c>
      <c r="S675" s="670" t="s">
        <v>1547</v>
      </c>
      <c r="T675" s="668" t="s">
        <v>1027</v>
      </c>
    </row>
    <row r="676" spans="1:20">
      <c r="A676" s="671"/>
      <c r="B676" s="677"/>
      <c r="C676" s="672"/>
      <c r="D676" s="672" t="s">
        <v>805</v>
      </c>
      <c r="E676" s="676" t="s">
        <v>252</v>
      </c>
      <c r="F676" s="675"/>
      <c r="G676" s="672"/>
      <c r="H676" s="676"/>
      <c r="Q676" s="711"/>
      <c r="S676" s="670"/>
    </row>
    <row r="677" spans="1:20">
      <c r="A677" s="671"/>
      <c r="B677" s="677"/>
      <c r="C677" s="672"/>
      <c r="D677" s="672"/>
      <c r="E677" s="676" t="s">
        <v>1121</v>
      </c>
      <c r="F677" s="675"/>
      <c r="G677" s="672"/>
      <c r="H677" s="676"/>
      <c r="Q677" s="711"/>
      <c r="S677" s="670"/>
    </row>
    <row r="678" spans="1:20">
      <c r="A678" s="679">
        <v>5611480</v>
      </c>
      <c r="B678" s="677"/>
      <c r="C678" s="672"/>
      <c r="D678" s="672"/>
      <c r="E678" s="676" t="s">
        <v>1122</v>
      </c>
      <c r="F678" s="680" t="s">
        <v>1557</v>
      </c>
      <c r="G678" s="710">
        <v>561</v>
      </c>
      <c r="H678" s="682">
        <v>1480</v>
      </c>
      <c r="J678" s="668" t="str">
        <f t="shared" ref="J678:J682" si="106">E678</f>
        <v>(a) Paid to Other LEA (In-State)</v>
      </c>
      <c r="L678" s="668">
        <v>119</v>
      </c>
      <c r="M678" s="669">
        <v>110</v>
      </c>
      <c r="N678" s="668"/>
      <c r="O678" s="668">
        <v>10</v>
      </c>
      <c r="P678" s="668" t="str">
        <f>IFERROR(VLOOKUP(F678, [2]MOE!B:C, 2, FALSE), "No")</f>
        <v>No</v>
      </c>
      <c r="Q678" s="711" t="s">
        <v>1546</v>
      </c>
      <c r="S678" s="670" t="s">
        <v>1547</v>
      </c>
      <c r="T678" s="668" t="s">
        <v>1032</v>
      </c>
    </row>
    <row r="679" spans="1:20">
      <c r="A679" s="679">
        <v>5621480</v>
      </c>
      <c r="B679" s="677"/>
      <c r="C679" s="672"/>
      <c r="D679" s="672"/>
      <c r="E679" s="676" t="s">
        <v>1124</v>
      </c>
      <c r="F679" s="680" t="s">
        <v>1558</v>
      </c>
      <c r="G679" s="710">
        <v>562</v>
      </c>
      <c r="H679" s="682">
        <v>1480</v>
      </c>
      <c r="J679" s="668" t="str">
        <f t="shared" si="106"/>
        <v>(b) Paid to Other LEA (Out-of-State)</v>
      </c>
      <c r="L679" s="668">
        <v>119</v>
      </c>
      <c r="M679" s="669">
        <v>110</v>
      </c>
      <c r="N679" s="668"/>
      <c r="O679" s="668">
        <v>10</v>
      </c>
      <c r="P679" s="668" t="str">
        <f>IFERROR(VLOOKUP(F679, [2]MOE!B:C, 2, FALSE), "No")</f>
        <v>No</v>
      </c>
      <c r="Q679" s="711" t="s">
        <v>1546</v>
      </c>
      <c r="S679" s="670" t="s">
        <v>1547</v>
      </c>
      <c r="T679" s="668" t="s">
        <v>1035</v>
      </c>
    </row>
    <row r="680" spans="1:20">
      <c r="A680" s="679">
        <v>5631480</v>
      </c>
      <c r="B680" s="677"/>
      <c r="C680" s="672"/>
      <c r="D680" s="672"/>
      <c r="E680" s="676" t="s">
        <v>1305</v>
      </c>
      <c r="F680" s="680" t="s">
        <v>1559</v>
      </c>
      <c r="G680" s="710">
        <v>563</v>
      </c>
      <c r="H680" s="682">
        <v>1480</v>
      </c>
      <c r="J680" s="668" t="str">
        <f t="shared" si="106"/>
        <v>(c) Paid to Private Sources</v>
      </c>
      <c r="L680" s="668">
        <v>119</v>
      </c>
      <c r="M680" s="669">
        <v>110</v>
      </c>
      <c r="N680" s="668"/>
      <c r="O680" s="668">
        <v>10</v>
      </c>
      <c r="P680" s="668" t="str">
        <f>IFERROR(VLOOKUP(F680, [2]MOE!B:C, 2, FALSE), "No")</f>
        <v>No</v>
      </c>
      <c r="Q680" s="711" t="s">
        <v>1546</v>
      </c>
      <c r="S680" s="670" t="s">
        <v>1547</v>
      </c>
      <c r="T680" s="668" t="s">
        <v>1038</v>
      </c>
    </row>
    <row r="681" spans="1:20">
      <c r="A681" s="679">
        <v>5821480</v>
      </c>
      <c r="B681" s="677"/>
      <c r="C681" s="672"/>
      <c r="D681" s="672"/>
      <c r="E681" s="676" t="s">
        <v>1135</v>
      </c>
      <c r="F681" s="680" t="s">
        <v>1560</v>
      </c>
      <c r="G681" s="710">
        <v>582</v>
      </c>
      <c r="H681" s="682">
        <v>1480</v>
      </c>
      <c r="J681" s="668" t="str">
        <f t="shared" si="106"/>
        <v>(2) Travel Expense Reimbursement</v>
      </c>
      <c r="L681" s="668">
        <v>118</v>
      </c>
      <c r="M681" s="669">
        <v>109</v>
      </c>
      <c r="N681" s="668"/>
      <c r="O681" s="668">
        <v>10</v>
      </c>
      <c r="P681" s="668" t="str">
        <f>IFERROR(VLOOKUP(F681, [2]MOE!B:C, 2, FALSE), "No")</f>
        <v>No</v>
      </c>
      <c r="Q681" s="711" t="s">
        <v>1546</v>
      </c>
      <c r="S681" s="670" t="s">
        <v>1547</v>
      </c>
      <c r="T681" s="668" t="s">
        <v>1039</v>
      </c>
    </row>
    <row r="682" spans="1:20">
      <c r="A682" s="679">
        <v>5001480</v>
      </c>
      <c r="B682" s="677"/>
      <c r="C682" s="672"/>
      <c r="D682" s="672"/>
      <c r="E682" s="676" t="s">
        <v>1137</v>
      </c>
      <c r="F682" s="680" t="s">
        <v>1561</v>
      </c>
      <c r="G682" s="710">
        <v>500</v>
      </c>
      <c r="H682" s="682">
        <v>1480</v>
      </c>
      <c r="J682" s="668" t="str">
        <f t="shared" si="106"/>
        <v>(3) Other Purchased Services</v>
      </c>
      <c r="L682" s="668">
        <v>119</v>
      </c>
      <c r="M682" s="669">
        <v>110</v>
      </c>
      <c r="N682" s="668"/>
      <c r="O682" s="668">
        <v>10</v>
      </c>
      <c r="P682" s="668" t="str">
        <f>IFERROR(VLOOKUP(F682, [2]MOE!B:C, 2, FALSE), "No")</f>
        <v>No</v>
      </c>
      <c r="Q682" s="711" t="s">
        <v>1546</v>
      </c>
      <c r="S682" s="670" t="s">
        <v>1547</v>
      </c>
      <c r="T682" s="668" t="s">
        <v>252</v>
      </c>
    </row>
    <row r="683" spans="1:20">
      <c r="A683" s="671"/>
      <c r="B683" s="677"/>
      <c r="C683" s="672"/>
      <c r="D683" s="672" t="s">
        <v>850</v>
      </c>
      <c r="E683" s="676" t="s">
        <v>1042</v>
      </c>
      <c r="F683" s="675"/>
      <c r="G683" s="672"/>
      <c r="H683" s="676"/>
      <c r="Q683" s="711"/>
      <c r="S683" s="670"/>
    </row>
    <row r="684" spans="1:20">
      <c r="A684" s="679">
        <v>6151480</v>
      </c>
      <c r="B684" s="677"/>
      <c r="C684" s="672"/>
      <c r="D684" s="672"/>
      <c r="E684" s="676" t="s">
        <v>1139</v>
      </c>
      <c r="F684" s="680" t="s">
        <v>1562</v>
      </c>
      <c r="G684" s="710">
        <v>615</v>
      </c>
      <c r="H684" s="682">
        <v>1480</v>
      </c>
      <c r="J684" s="668" t="str">
        <f t="shared" ref="J684:J687" si="107">E684</f>
        <v>(1) Technology-Related Supplies</v>
      </c>
      <c r="L684" s="668">
        <v>126</v>
      </c>
      <c r="M684" s="669">
        <v>117</v>
      </c>
      <c r="N684" s="668"/>
      <c r="O684" s="668">
        <v>10</v>
      </c>
      <c r="P684" s="668" t="str">
        <f>IFERROR(VLOOKUP(F684, [2]MOE!B:C, 2, FALSE), "No")</f>
        <v>No</v>
      </c>
      <c r="Q684" s="711" t="s">
        <v>1546</v>
      </c>
      <c r="S684" s="670" t="s">
        <v>1547</v>
      </c>
      <c r="T684" s="668" t="s">
        <v>1043</v>
      </c>
    </row>
    <row r="685" spans="1:20">
      <c r="A685" s="679">
        <v>6101480</v>
      </c>
      <c r="B685" s="677"/>
      <c r="C685" s="672"/>
      <c r="D685" s="672"/>
      <c r="E685" s="676" t="s">
        <v>1141</v>
      </c>
      <c r="F685" s="680" t="s">
        <v>1563</v>
      </c>
      <c r="G685" s="710">
        <v>610</v>
      </c>
      <c r="H685" s="682">
        <v>1480</v>
      </c>
      <c r="J685" s="668" t="str">
        <f t="shared" si="107"/>
        <v>(2) Materials and Supplies</v>
      </c>
      <c r="L685" s="668">
        <v>122</v>
      </c>
      <c r="M685" s="669">
        <v>113</v>
      </c>
      <c r="N685" s="668"/>
      <c r="O685" s="668">
        <v>10</v>
      </c>
      <c r="P685" s="668" t="str">
        <f>IFERROR(VLOOKUP(F685, [2]MOE!B:C, 2, FALSE), "No")</f>
        <v>No</v>
      </c>
      <c r="Q685" s="711" t="s">
        <v>1546</v>
      </c>
      <c r="S685" s="670" t="s">
        <v>1547</v>
      </c>
      <c r="T685" s="668" t="s">
        <v>39</v>
      </c>
    </row>
    <row r="686" spans="1:20">
      <c r="A686" s="679">
        <v>6421480</v>
      </c>
      <c r="B686" s="677"/>
      <c r="C686" s="672"/>
      <c r="D686" s="672"/>
      <c r="E686" s="676" t="s">
        <v>1143</v>
      </c>
      <c r="F686" s="680" t="s">
        <v>1564</v>
      </c>
      <c r="G686" s="710">
        <v>642</v>
      </c>
      <c r="H686" s="682">
        <v>1480</v>
      </c>
      <c r="J686" s="668" t="str">
        <f t="shared" si="107"/>
        <v>(3) Textbooks/Workbooks</v>
      </c>
      <c r="L686" s="668">
        <v>125</v>
      </c>
      <c r="M686" s="669">
        <v>116</v>
      </c>
      <c r="N686" s="668"/>
      <c r="O686" s="668">
        <v>10</v>
      </c>
      <c r="P686" s="668" t="str">
        <f>IFERROR(VLOOKUP(F686, [2]MOE!B:C, 2, FALSE), "No")</f>
        <v>No</v>
      </c>
      <c r="Q686" s="711" t="s">
        <v>1546</v>
      </c>
      <c r="S686" s="670" t="s">
        <v>1547</v>
      </c>
      <c r="T686" s="668" t="s">
        <v>1048</v>
      </c>
    </row>
    <row r="687" spans="1:20">
      <c r="A687" s="679">
        <v>6001480</v>
      </c>
      <c r="B687" s="677"/>
      <c r="C687" s="672"/>
      <c r="D687" s="672"/>
      <c r="E687" s="676" t="s">
        <v>1145</v>
      </c>
      <c r="F687" s="680" t="s">
        <v>1565</v>
      </c>
      <c r="G687" s="710">
        <v>600</v>
      </c>
      <c r="H687" s="682">
        <v>1480</v>
      </c>
      <c r="J687" s="668" t="str">
        <f t="shared" si="107"/>
        <v>(4) Other Supplies</v>
      </c>
      <c r="L687" s="668">
        <v>126</v>
      </c>
      <c r="M687" s="669">
        <v>117</v>
      </c>
      <c r="N687" s="668"/>
      <c r="O687" s="668">
        <v>10</v>
      </c>
      <c r="P687" s="668" t="str">
        <f>IFERROR(VLOOKUP(F687, [2]MOE!B:C, 2, FALSE), "No")</f>
        <v>No</v>
      </c>
      <c r="Q687" s="711" t="s">
        <v>1546</v>
      </c>
      <c r="S687" s="670" t="s">
        <v>1547</v>
      </c>
      <c r="T687" s="668" t="s">
        <v>1050</v>
      </c>
    </row>
    <row r="688" spans="1:20">
      <c r="A688" s="671"/>
      <c r="B688" s="677"/>
      <c r="C688" s="672"/>
      <c r="D688" s="672" t="s">
        <v>853</v>
      </c>
      <c r="E688" s="676" t="s">
        <v>1052</v>
      </c>
      <c r="F688" s="675"/>
      <c r="G688" s="672"/>
      <c r="H688" s="676"/>
      <c r="Q688" s="711"/>
      <c r="S688" s="670"/>
    </row>
    <row r="689" spans="1:20">
      <c r="A689" s="679">
        <v>7341480</v>
      </c>
      <c r="B689" s="677"/>
      <c r="C689" s="672"/>
      <c r="D689" s="672"/>
      <c r="E689" s="676" t="s">
        <v>1147</v>
      </c>
      <c r="F689" s="680" t="s">
        <v>1566</v>
      </c>
      <c r="G689" s="710">
        <v>734</v>
      </c>
      <c r="H689" s="682">
        <v>1480</v>
      </c>
      <c r="J689" s="668" t="str">
        <f t="shared" ref="J689:J692" si="108">E689</f>
        <v>(1) Technology-Related Hardware</v>
      </c>
      <c r="L689" s="668">
        <v>131</v>
      </c>
      <c r="M689" s="669">
        <v>122</v>
      </c>
      <c r="N689" s="668"/>
      <c r="O689" s="668">
        <v>10</v>
      </c>
      <c r="P689" s="668" t="str">
        <f>IFERROR(VLOOKUP(F689, [2]MOE!B:C, 2, FALSE), "No")</f>
        <v>No</v>
      </c>
      <c r="Q689" s="711" t="s">
        <v>1546</v>
      </c>
      <c r="S689" s="670" t="s">
        <v>1547</v>
      </c>
      <c r="T689" s="668" t="s">
        <v>1053</v>
      </c>
    </row>
    <row r="690" spans="1:20">
      <c r="A690" s="679">
        <v>7351480</v>
      </c>
      <c r="B690" s="677"/>
      <c r="C690" s="672"/>
      <c r="D690" s="672"/>
      <c r="E690" s="676" t="s">
        <v>1149</v>
      </c>
      <c r="F690" s="680" t="s">
        <v>1567</v>
      </c>
      <c r="G690" s="710">
        <v>735</v>
      </c>
      <c r="H690" s="682">
        <v>1480</v>
      </c>
      <c r="J690" s="668" t="str">
        <f t="shared" si="108"/>
        <v>(2) Technology Software</v>
      </c>
      <c r="L690" s="668">
        <v>131</v>
      </c>
      <c r="M690" s="669">
        <v>122</v>
      </c>
      <c r="N690" s="668"/>
      <c r="O690" s="668">
        <v>10</v>
      </c>
      <c r="P690" s="668" t="str">
        <f>IFERROR(VLOOKUP(F690, [2]MOE!B:C, 2, FALSE), "No")</f>
        <v>No</v>
      </c>
      <c r="Q690" s="711" t="s">
        <v>1546</v>
      </c>
      <c r="S690" s="670" t="s">
        <v>1547</v>
      </c>
      <c r="T690" s="668" t="s">
        <v>1055</v>
      </c>
    </row>
    <row r="691" spans="1:20">
      <c r="A691" s="679">
        <v>7301480</v>
      </c>
      <c r="B691" s="677"/>
      <c r="C691" s="672"/>
      <c r="D691" s="672"/>
      <c r="E691" s="676" t="s">
        <v>1151</v>
      </c>
      <c r="F691" s="680" t="s">
        <v>1568</v>
      </c>
      <c r="G691" s="710">
        <v>730</v>
      </c>
      <c r="H691" s="682">
        <v>1480</v>
      </c>
      <c r="J691" s="668" t="str">
        <f t="shared" si="108"/>
        <v>(3) All Other Equipment</v>
      </c>
      <c r="L691" s="668">
        <v>131</v>
      </c>
      <c r="M691" s="669">
        <v>122</v>
      </c>
      <c r="N691" s="668"/>
      <c r="O691" s="668">
        <v>10</v>
      </c>
      <c r="P691" s="668" t="str">
        <f>IFERROR(VLOOKUP(F691, [2]MOE!B:C, 2, FALSE), "No")</f>
        <v>No</v>
      </c>
      <c r="Q691" s="711" t="s">
        <v>1546</v>
      </c>
      <c r="S691" s="670" t="s">
        <v>1547</v>
      </c>
      <c r="T691" s="668" t="s">
        <v>1057</v>
      </c>
    </row>
    <row r="692" spans="1:20">
      <c r="A692" s="679">
        <v>7001480</v>
      </c>
      <c r="B692" s="677"/>
      <c r="C692" s="672"/>
      <c r="D692" s="672"/>
      <c r="E692" s="676" t="s">
        <v>1153</v>
      </c>
      <c r="F692" s="680" t="s">
        <v>1569</v>
      </c>
      <c r="G692" s="710">
        <v>700</v>
      </c>
      <c r="H692" s="682">
        <v>1480</v>
      </c>
      <c r="J692" s="668" t="str">
        <f t="shared" si="108"/>
        <v>(4) Other Property</v>
      </c>
      <c r="L692" s="668">
        <v>132</v>
      </c>
      <c r="M692" s="669">
        <v>123</v>
      </c>
      <c r="N692" s="668"/>
      <c r="O692" s="668">
        <v>10</v>
      </c>
      <c r="P692" s="668" t="str">
        <f>IFERROR(VLOOKUP(F692, [2]MOE!B:C, 2, FALSE), "No")</f>
        <v>No</v>
      </c>
      <c r="Q692" s="711" t="s">
        <v>1546</v>
      </c>
      <c r="S692" s="670" t="s">
        <v>1547</v>
      </c>
      <c r="T692" s="668" t="s">
        <v>1059</v>
      </c>
    </row>
    <row r="693" spans="1:20">
      <c r="A693" s="671"/>
      <c r="B693" s="677"/>
      <c r="C693" s="672"/>
      <c r="D693" s="672" t="s">
        <v>856</v>
      </c>
      <c r="E693" s="676" t="s">
        <v>256</v>
      </c>
      <c r="F693" s="675"/>
      <c r="G693" s="672"/>
      <c r="H693" s="676"/>
      <c r="Q693" s="711"/>
      <c r="S693" s="670"/>
    </row>
    <row r="694" spans="1:20">
      <c r="A694" s="679">
        <v>8951480</v>
      </c>
      <c r="B694" s="677"/>
      <c r="C694" s="672"/>
      <c r="D694" s="672"/>
      <c r="E694" s="676" t="s">
        <v>1155</v>
      </c>
      <c r="F694" s="680" t="s">
        <v>1570</v>
      </c>
      <c r="G694" s="710">
        <v>895</v>
      </c>
      <c r="H694" s="682">
        <v>1480</v>
      </c>
      <c r="J694" s="668" t="str">
        <f t="shared" ref="J694:J695" si="109">E694</f>
        <v>(1) Miscellaneous Non-Public Expenditures</v>
      </c>
      <c r="L694" s="668">
        <v>139</v>
      </c>
      <c r="M694" s="669">
        <v>129</v>
      </c>
      <c r="N694" s="668"/>
      <c r="O694" s="668">
        <v>10</v>
      </c>
      <c r="P694" s="668" t="str">
        <f>IFERROR(VLOOKUP(F694, [2]MOE!B:C, 2, FALSE), "No")</f>
        <v>No</v>
      </c>
      <c r="Q694" s="711" t="s">
        <v>1546</v>
      </c>
      <c r="S694" s="670" t="s">
        <v>1547</v>
      </c>
      <c r="T694" s="668" t="s">
        <v>1061</v>
      </c>
    </row>
    <row r="695" spans="1:20">
      <c r="A695" s="679">
        <v>8001480</v>
      </c>
      <c r="B695" s="719"/>
      <c r="C695" s="681"/>
      <c r="D695" s="681"/>
      <c r="E695" s="686" t="s">
        <v>1157</v>
      </c>
      <c r="F695" s="680" t="s">
        <v>1571</v>
      </c>
      <c r="G695" s="710">
        <v>800</v>
      </c>
      <c r="H695" s="682">
        <v>1480</v>
      </c>
      <c r="J695" s="668" t="str">
        <f t="shared" si="109"/>
        <v>(2) Other Miscellaneous Expenditures</v>
      </c>
      <c r="L695" s="668">
        <v>139</v>
      </c>
      <c r="M695" s="669">
        <v>129</v>
      </c>
      <c r="N695" s="668"/>
      <c r="O695" s="668">
        <v>10</v>
      </c>
      <c r="P695" s="668" t="str">
        <f>IFERROR(VLOOKUP(F695, [2]MOE!B:C, 2, FALSE), "No")</f>
        <v>No</v>
      </c>
      <c r="Q695" s="711" t="s">
        <v>1546</v>
      </c>
      <c r="S695" s="670" t="s">
        <v>1547</v>
      </c>
      <c r="T695" s="668" t="s">
        <v>1063</v>
      </c>
    </row>
    <row r="696" spans="1:20">
      <c r="A696" s="671"/>
      <c r="B696" s="677"/>
      <c r="C696" s="672"/>
      <c r="D696" s="672" t="s">
        <v>859</v>
      </c>
      <c r="E696" s="676" t="s">
        <v>1065</v>
      </c>
      <c r="F696" s="675"/>
      <c r="G696" s="672"/>
      <c r="H696" s="676"/>
      <c r="Q696" s="711"/>
      <c r="S696" s="670"/>
    </row>
    <row r="697" spans="1:20">
      <c r="A697" s="679">
        <v>2101480</v>
      </c>
      <c r="B697" s="677"/>
      <c r="C697" s="672"/>
      <c r="D697" s="672"/>
      <c r="E697" s="676" t="s">
        <v>1159</v>
      </c>
      <c r="F697" s="680" t="s">
        <v>1572</v>
      </c>
      <c r="G697" s="710">
        <v>210</v>
      </c>
      <c r="H697" s="682">
        <v>1480</v>
      </c>
      <c r="J697" s="668" t="str">
        <f t="shared" ref="J697:J699" si="110">E697</f>
        <v>(1) Group Insurance</v>
      </c>
      <c r="L697" s="668">
        <v>89</v>
      </c>
      <c r="M697" s="669">
        <v>84</v>
      </c>
      <c r="N697" s="668"/>
      <c r="O697" s="668">
        <v>10</v>
      </c>
      <c r="P697" s="668" t="str">
        <f>IFERROR(VLOOKUP(F697, [2]MOE!B:C, 2, FALSE), "No")</f>
        <v>No</v>
      </c>
      <c r="Q697" s="711" t="s">
        <v>1546</v>
      </c>
      <c r="S697" s="670" t="s">
        <v>1547</v>
      </c>
      <c r="T697" s="668" t="s">
        <v>1066</v>
      </c>
    </row>
    <row r="698" spans="1:20">
      <c r="A698" s="679">
        <v>2201480</v>
      </c>
      <c r="B698" s="677"/>
      <c r="C698" s="672"/>
      <c r="D698" s="672"/>
      <c r="E698" s="676" t="s">
        <v>1161</v>
      </c>
      <c r="F698" s="680" t="s">
        <v>1573</v>
      </c>
      <c r="G698" s="710">
        <v>220</v>
      </c>
      <c r="H698" s="682">
        <v>1480</v>
      </c>
      <c r="J698" s="668" t="str">
        <f t="shared" si="110"/>
        <v>(2) FICA</v>
      </c>
      <c r="L698" s="668">
        <v>90</v>
      </c>
      <c r="M698" s="669">
        <v>85</v>
      </c>
      <c r="N698" s="668"/>
      <c r="O698" s="668">
        <v>10</v>
      </c>
      <c r="P698" s="668" t="str">
        <f>IFERROR(VLOOKUP(F698, [2]MOE!B:C, 2, FALSE), "No")</f>
        <v>No</v>
      </c>
      <c r="Q698" s="711" t="s">
        <v>1546</v>
      </c>
      <c r="S698" s="670" t="s">
        <v>1547</v>
      </c>
      <c r="T698" s="668" t="s">
        <v>1068</v>
      </c>
    </row>
    <row r="699" spans="1:20">
      <c r="A699" s="679">
        <v>2251480</v>
      </c>
      <c r="B699" s="677"/>
      <c r="C699" s="672"/>
      <c r="D699" s="672"/>
      <c r="E699" s="676" t="s">
        <v>1163</v>
      </c>
      <c r="F699" s="680" t="s">
        <v>1574</v>
      </c>
      <c r="G699" s="710">
        <v>225</v>
      </c>
      <c r="H699" s="682">
        <v>1480</v>
      </c>
      <c r="J699" s="668" t="str">
        <f t="shared" si="110"/>
        <v>(3) Medicare</v>
      </c>
      <c r="L699" s="668">
        <v>91</v>
      </c>
      <c r="M699" s="669">
        <v>86</v>
      </c>
      <c r="N699" s="668"/>
      <c r="O699" s="668">
        <v>10</v>
      </c>
      <c r="P699" s="668" t="str">
        <f>IFERROR(VLOOKUP(F699, [2]MOE!B:C, 2, FALSE), "No")</f>
        <v>No</v>
      </c>
      <c r="Q699" s="711" t="s">
        <v>1546</v>
      </c>
      <c r="S699" s="670" t="s">
        <v>1547</v>
      </c>
      <c r="T699" s="668" t="s">
        <v>23</v>
      </c>
    </row>
    <row r="700" spans="1:20">
      <c r="A700" s="671"/>
      <c r="B700" s="677"/>
      <c r="C700" s="672"/>
      <c r="D700" s="672"/>
      <c r="E700" s="676" t="s">
        <v>1165</v>
      </c>
      <c r="F700" s="675"/>
      <c r="G700" s="672"/>
      <c r="H700" s="676"/>
      <c r="Q700" s="711"/>
      <c r="S700" s="670"/>
    </row>
    <row r="701" spans="1:20">
      <c r="A701" s="679">
        <v>2311480</v>
      </c>
      <c r="B701" s="677"/>
      <c r="C701" s="672"/>
      <c r="D701" s="672"/>
      <c r="E701" s="676" t="s">
        <v>1166</v>
      </c>
      <c r="F701" s="680" t="s">
        <v>1575</v>
      </c>
      <c r="G701" s="710">
        <v>231</v>
      </c>
      <c r="H701" s="682">
        <v>1480</v>
      </c>
      <c r="J701" s="668" t="str">
        <f t="shared" ref="J701:J709" si="111">E701</f>
        <v>(a) Louisiana Teachers Retirement</v>
      </c>
      <c r="L701" s="668">
        <v>92</v>
      </c>
      <c r="M701" s="669">
        <v>87</v>
      </c>
      <c r="N701" s="668"/>
      <c r="O701" s="668">
        <v>10</v>
      </c>
      <c r="P701" s="668" t="str">
        <f>IFERROR(VLOOKUP(F701, [2]MOE!B:C, 2, FALSE), "No")</f>
        <v>No</v>
      </c>
      <c r="Q701" s="711" t="s">
        <v>1546</v>
      </c>
      <c r="S701" s="670" t="s">
        <v>1547</v>
      </c>
      <c r="T701" s="668" t="s">
        <v>1074</v>
      </c>
    </row>
    <row r="702" spans="1:20">
      <c r="A702" s="679">
        <v>2331480</v>
      </c>
      <c r="B702" s="677"/>
      <c r="C702" s="672"/>
      <c r="D702" s="672"/>
      <c r="E702" s="676" t="s">
        <v>1168</v>
      </c>
      <c r="F702" s="680" t="s">
        <v>1576</v>
      </c>
      <c r="G702" s="710">
        <v>233</v>
      </c>
      <c r="H702" s="682">
        <v>1480</v>
      </c>
      <c r="J702" s="668" t="str">
        <f t="shared" si="111"/>
        <v>(b) Louisiana School Emp. Retirement</v>
      </c>
      <c r="L702" s="668">
        <v>92</v>
      </c>
      <c r="M702" s="669">
        <v>87</v>
      </c>
      <c r="N702" s="668"/>
      <c r="O702" s="668">
        <v>10</v>
      </c>
      <c r="P702" s="668" t="str">
        <f>IFERROR(VLOOKUP(F702, [2]MOE!B:C, 2, FALSE), "No")</f>
        <v>No</v>
      </c>
      <c r="Q702" s="711" t="s">
        <v>1546</v>
      </c>
      <c r="S702" s="670" t="s">
        <v>1547</v>
      </c>
      <c r="T702" s="668" t="s">
        <v>1170</v>
      </c>
    </row>
    <row r="703" spans="1:20">
      <c r="A703" s="679">
        <v>2391480</v>
      </c>
      <c r="B703" s="677"/>
      <c r="C703" s="672"/>
      <c r="D703" s="672"/>
      <c r="E703" s="676" t="s">
        <v>1171</v>
      </c>
      <c r="F703" s="680" t="s">
        <v>1577</v>
      </c>
      <c r="G703" s="710">
        <v>239</v>
      </c>
      <c r="H703" s="682">
        <v>1480</v>
      </c>
      <c r="J703" s="668" t="str">
        <f t="shared" si="111"/>
        <v>(c) Other Retirement</v>
      </c>
      <c r="L703" s="668">
        <v>92</v>
      </c>
      <c r="M703" s="669">
        <v>87</v>
      </c>
      <c r="N703" s="668"/>
      <c r="O703" s="668">
        <v>10</v>
      </c>
      <c r="P703" s="668" t="str">
        <f>IFERROR(VLOOKUP(F703, [2]MOE!B:C, 2, FALSE), "No")</f>
        <v>No</v>
      </c>
      <c r="Q703" s="711" t="s">
        <v>1546</v>
      </c>
      <c r="S703" s="670" t="s">
        <v>1547</v>
      </c>
      <c r="T703" s="668" t="s">
        <v>1080</v>
      </c>
    </row>
    <row r="704" spans="1:20">
      <c r="A704" s="679">
        <v>2501480</v>
      </c>
      <c r="B704" s="677"/>
      <c r="C704" s="672"/>
      <c r="D704" s="672"/>
      <c r="E704" s="676" t="s">
        <v>1173</v>
      </c>
      <c r="F704" s="680" t="s">
        <v>1578</v>
      </c>
      <c r="G704" s="710">
        <v>250</v>
      </c>
      <c r="H704" s="682">
        <v>1480</v>
      </c>
      <c r="J704" s="668" t="str">
        <f t="shared" si="111"/>
        <v>(5) Unemployment Compensation</v>
      </c>
      <c r="L704" s="668">
        <v>93</v>
      </c>
      <c r="M704" s="669">
        <v>88</v>
      </c>
      <c r="N704" s="668"/>
      <c r="O704" s="668">
        <v>10</v>
      </c>
      <c r="P704" s="668" t="str">
        <f>IFERROR(VLOOKUP(F704, [2]MOE!B:C, 2, FALSE), "No")</f>
        <v>No</v>
      </c>
      <c r="Q704" s="711" t="s">
        <v>1546</v>
      </c>
      <c r="S704" s="670" t="s">
        <v>1547</v>
      </c>
      <c r="T704" s="668" t="s">
        <v>1081</v>
      </c>
    </row>
    <row r="705" spans="1:20">
      <c r="A705" s="679">
        <v>2601480</v>
      </c>
      <c r="B705" s="677"/>
      <c r="C705" s="672"/>
      <c r="D705" s="672"/>
      <c r="E705" s="676" t="s">
        <v>1175</v>
      </c>
      <c r="F705" s="680" t="s">
        <v>1579</v>
      </c>
      <c r="G705" s="710">
        <v>260</v>
      </c>
      <c r="H705" s="682">
        <v>1480</v>
      </c>
      <c r="J705" s="668" t="str">
        <f t="shared" si="111"/>
        <v>(6) Workmen's Compensation</v>
      </c>
      <c r="L705" s="668">
        <v>95</v>
      </c>
      <c r="M705" s="669">
        <v>90</v>
      </c>
      <c r="N705" s="668"/>
      <c r="O705" s="668">
        <v>10</v>
      </c>
      <c r="P705" s="668" t="str">
        <f>IFERROR(VLOOKUP(F705, [2]MOE!B:C, 2, FALSE), "No")</f>
        <v>No</v>
      </c>
      <c r="Q705" s="711" t="s">
        <v>1546</v>
      </c>
      <c r="S705" s="670" t="s">
        <v>1547</v>
      </c>
      <c r="T705" s="668" t="s">
        <v>1083</v>
      </c>
    </row>
    <row r="706" spans="1:20">
      <c r="A706" s="679">
        <v>2701480</v>
      </c>
      <c r="B706" s="677"/>
      <c r="C706" s="672"/>
      <c r="D706" s="672"/>
      <c r="E706" s="676" t="s">
        <v>1177</v>
      </c>
      <c r="F706" s="680" t="s">
        <v>1580</v>
      </c>
      <c r="G706" s="710">
        <v>270</v>
      </c>
      <c r="H706" s="682">
        <v>1480</v>
      </c>
      <c r="J706" s="668" t="str">
        <f t="shared" si="111"/>
        <v>(7) Health Benefits (retirees)</v>
      </c>
      <c r="L706" s="668">
        <v>94</v>
      </c>
      <c r="M706" s="669">
        <v>89</v>
      </c>
      <c r="N706" s="668"/>
      <c r="O706" s="668">
        <v>10</v>
      </c>
      <c r="P706" s="668" t="str">
        <f>IFERROR(VLOOKUP(F706, [2]MOE!B:C, 2, FALSE), "No")</f>
        <v>No</v>
      </c>
      <c r="Q706" s="711" t="s">
        <v>1546</v>
      </c>
      <c r="S706" s="670" t="s">
        <v>1547</v>
      </c>
      <c r="T706" s="668" t="s">
        <v>1085</v>
      </c>
    </row>
    <row r="707" spans="1:20">
      <c r="A707" s="679">
        <v>2811480</v>
      </c>
      <c r="B707" s="677"/>
      <c r="C707" s="672"/>
      <c r="D707" s="672"/>
      <c r="E707" s="676" t="s">
        <v>1179</v>
      </c>
      <c r="F707" s="680" t="s">
        <v>1581</v>
      </c>
      <c r="G707" s="710">
        <v>281</v>
      </c>
      <c r="H707" s="682">
        <v>1480</v>
      </c>
      <c r="J707" s="668" t="str">
        <f t="shared" si="111"/>
        <v>(8) Sick Leave Severance Pay</v>
      </c>
      <c r="L707" s="668">
        <v>95</v>
      </c>
      <c r="M707" s="669">
        <v>90</v>
      </c>
      <c r="N707" s="668"/>
      <c r="O707" s="668">
        <v>10</v>
      </c>
      <c r="P707" s="668" t="str">
        <f>IFERROR(VLOOKUP(F707, [2]MOE!B:C, 2, FALSE), "No")</f>
        <v>No</v>
      </c>
      <c r="Q707" s="711" t="s">
        <v>1546</v>
      </c>
      <c r="S707" s="670" t="s">
        <v>1547</v>
      </c>
      <c r="T707" s="668" t="s">
        <v>1087</v>
      </c>
    </row>
    <row r="708" spans="1:20">
      <c r="A708" s="679">
        <v>2821480</v>
      </c>
      <c r="B708" s="677"/>
      <c r="C708" s="672"/>
      <c r="D708" s="672"/>
      <c r="E708" s="676" t="s">
        <v>1181</v>
      </c>
      <c r="F708" s="680" t="s">
        <v>1582</v>
      </c>
      <c r="G708" s="710">
        <v>282</v>
      </c>
      <c r="H708" s="682">
        <v>1480</v>
      </c>
      <c r="J708" s="668" t="str">
        <f t="shared" si="111"/>
        <v>(9) Annual Leave Severance Pay</v>
      </c>
      <c r="L708" s="668">
        <v>95</v>
      </c>
      <c r="M708" s="669">
        <v>90</v>
      </c>
      <c r="N708" s="668"/>
      <c r="O708" s="668">
        <v>10</v>
      </c>
      <c r="P708" s="668" t="str">
        <f>IFERROR(VLOOKUP(F708, [2]MOE!B:C, 2, FALSE), "No")</f>
        <v>No</v>
      </c>
      <c r="Q708" s="711" t="s">
        <v>1546</v>
      </c>
      <c r="S708" s="670" t="s">
        <v>1547</v>
      </c>
      <c r="T708" s="668" t="s">
        <v>1089</v>
      </c>
    </row>
    <row r="709" spans="1:20">
      <c r="A709" s="679">
        <v>2901480</v>
      </c>
      <c r="B709" s="677"/>
      <c r="C709" s="672"/>
      <c r="D709" s="672"/>
      <c r="E709" s="676" t="s">
        <v>1183</v>
      </c>
      <c r="F709" s="680" t="s">
        <v>1583</v>
      </c>
      <c r="G709" s="710">
        <v>290</v>
      </c>
      <c r="H709" s="682">
        <v>1480</v>
      </c>
      <c r="J709" s="668" t="str">
        <f t="shared" si="111"/>
        <v>(10) Other Employee Benefits</v>
      </c>
      <c r="L709" s="668">
        <v>95</v>
      </c>
      <c r="M709" s="669">
        <v>90</v>
      </c>
      <c r="N709" s="668"/>
      <c r="O709" s="668">
        <v>10</v>
      </c>
      <c r="P709" s="668" t="str">
        <f>IFERROR(VLOOKUP(F709, [2]MOE!B:C, 2, FALSE), "No")</f>
        <v>No</v>
      </c>
      <c r="Q709" s="711" t="s">
        <v>1546</v>
      </c>
      <c r="S709" s="670" t="s">
        <v>1547</v>
      </c>
      <c r="T709" s="668" t="s">
        <v>1092</v>
      </c>
    </row>
    <row r="710" spans="1:20">
      <c r="A710" s="671"/>
      <c r="B710" s="677"/>
      <c r="C710" s="678">
        <v>26</v>
      </c>
      <c r="D710" s="927" t="s">
        <v>1584</v>
      </c>
      <c r="E710" s="926"/>
      <c r="F710" s="675"/>
      <c r="G710" s="672"/>
      <c r="H710" s="676"/>
      <c r="Q710" s="711"/>
      <c r="S710" s="670"/>
    </row>
    <row r="711" spans="1:20">
      <c r="A711" s="671"/>
      <c r="B711" s="677"/>
      <c r="C711" s="672"/>
      <c r="D711" s="672" t="s">
        <v>759</v>
      </c>
      <c r="E711" s="676" t="s">
        <v>244</v>
      </c>
      <c r="F711" s="675"/>
      <c r="G711" s="672"/>
      <c r="H711" s="676"/>
      <c r="Q711" s="711"/>
      <c r="S711" s="670"/>
    </row>
    <row r="712" spans="1:20">
      <c r="A712" s="679">
        <v>1121490</v>
      </c>
      <c r="B712" s="677"/>
      <c r="C712" s="672"/>
      <c r="D712" s="672"/>
      <c r="E712" s="676" t="s">
        <v>1098</v>
      </c>
      <c r="F712" s="680" t="s">
        <v>1585</v>
      </c>
      <c r="G712" s="710">
        <v>112</v>
      </c>
      <c r="H712" s="682">
        <v>1490</v>
      </c>
      <c r="J712" s="668" t="str">
        <f t="shared" ref="J712:J718" si="112">E712</f>
        <v>(1) Teachers</v>
      </c>
      <c r="L712" s="668">
        <v>82</v>
      </c>
      <c r="M712" s="669">
        <v>77</v>
      </c>
      <c r="N712" s="668"/>
      <c r="O712" s="668">
        <v>10</v>
      </c>
      <c r="P712" s="668" t="str">
        <f>IFERROR(VLOOKUP(F712, [2]MOE!B:C, 2, FALSE), "No")</f>
        <v>No</v>
      </c>
      <c r="Q712" s="711" t="s">
        <v>1004</v>
      </c>
      <c r="S712" s="670" t="s">
        <v>1586</v>
      </c>
      <c r="T712" s="668" t="s">
        <v>5</v>
      </c>
    </row>
    <row r="713" spans="1:20">
      <c r="A713" s="679">
        <v>1151490</v>
      </c>
      <c r="B713" s="677"/>
      <c r="C713" s="672"/>
      <c r="D713" s="672"/>
      <c r="E713" s="676" t="s">
        <v>1100</v>
      </c>
      <c r="F713" s="680" t="s">
        <v>1587</v>
      </c>
      <c r="G713" s="710">
        <v>115</v>
      </c>
      <c r="H713" s="682">
        <v>1490</v>
      </c>
      <c r="J713" s="668" t="str">
        <f t="shared" si="112"/>
        <v>(2) Para-professionals (Aides)</v>
      </c>
      <c r="L713" s="668">
        <v>86</v>
      </c>
      <c r="M713" s="669">
        <v>81</v>
      </c>
      <c r="N713" s="668"/>
      <c r="O713" s="668">
        <v>10</v>
      </c>
      <c r="P713" s="668" t="str">
        <f>IFERROR(VLOOKUP(F713, [2]MOE!B:C, 2, FALSE), "No")</f>
        <v>No</v>
      </c>
      <c r="Q713" s="711" t="s">
        <v>1004</v>
      </c>
      <c r="S713" s="670" t="s">
        <v>1586</v>
      </c>
      <c r="T713" s="668" t="s">
        <v>1102</v>
      </c>
    </row>
    <row r="714" spans="1:20">
      <c r="A714" s="679">
        <v>1231490</v>
      </c>
      <c r="B714" s="677"/>
      <c r="C714" s="672"/>
      <c r="D714" s="672"/>
      <c r="E714" s="676" t="s">
        <v>1103</v>
      </c>
      <c r="F714" s="680" t="s">
        <v>1588</v>
      </c>
      <c r="G714" s="710">
        <v>123</v>
      </c>
      <c r="H714" s="682">
        <v>1490</v>
      </c>
      <c r="J714" s="668" t="str">
        <f t="shared" si="112"/>
        <v>(3) Substitute Teachers</v>
      </c>
      <c r="L714" s="668">
        <v>86</v>
      </c>
      <c r="M714" s="669">
        <v>81</v>
      </c>
      <c r="N714" s="668"/>
      <c r="O714" s="668">
        <v>10</v>
      </c>
      <c r="P714" s="668" t="str">
        <f>IFERROR(VLOOKUP(F714, [2]MOE!B:C, 2, FALSE), "No")</f>
        <v>No</v>
      </c>
      <c r="Q714" s="711" t="s">
        <v>1004</v>
      </c>
      <c r="S714" s="670" t="s">
        <v>1586</v>
      </c>
      <c r="T714" s="668" t="s">
        <v>1105</v>
      </c>
    </row>
    <row r="715" spans="1:20">
      <c r="A715" s="679">
        <v>1201490</v>
      </c>
      <c r="B715" s="677"/>
      <c r="C715" s="672"/>
      <c r="D715" s="672"/>
      <c r="E715" s="676" t="s">
        <v>1106</v>
      </c>
      <c r="F715" s="680" t="s">
        <v>1589</v>
      </c>
      <c r="G715" s="710">
        <v>120</v>
      </c>
      <c r="H715" s="682">
        <v>1490</v>
      </c>
      <c r="J715" s="668" t="str">
        <f t="shared" si="112"/>
        <v>(4) Other Substitute/Temp. Employees</v>
      </c>
      <c r="L715" s="668">
        <v>86</v>
      </c>
      <c r="M715" s="669">
        <v>81</v>
      </c>
      <c r="N715" s="668"/>
      <c r="O715" s="668">
        <v>10</v>
      </c>
      <c r="P715" s="668" t="str">
        <f>IFERROR(VLOOKUP(F715, [2]MOE!B:C, 2, FALSE), "No")</f>
        <v>No</v>
      </c>
      <c r="Q715" s="711" t="s">
        <v>1004</v>
      </c>
      <c r="S715" s="670" t="s">
        <v>1586</v>
      </c>
      <c r="T715" s="668" t="s">
        <v>1108</v>
      </c>
    </row>
    <row r="716" spans="1:20">
      <c r="A716" s="679">
        <v>1001490</v>
      </c>
      <c r="B716" s="677"/>
      <c r="C716" s="672"/>
      <c r="D716" s="672"/>
      <c r="E716" s="676" t="s">
        <v>1109</v>
      </c>
      <c r="F716" s="680" t="s">
        <v>1590</v>
      </c>
      <c r="G716" s="710">
        <v>100</v>
      </c>
      <c r="H716" s="682">
        <v>1490</v>
      </c>
      <c r="J716" s="668" t="str">
        <f t="shared" si="112"/>
        <v>(5) Other Instructional Salaries</v>
      </c>
      <c r="L716" s="668">
        <v>86</v>
      </c>
      <c r="M716" s="669">
        <v>81</v>
      </c>
      <c r="N716" s="668"/>
      <c r="O716" s="668">
        <v>10</v>
      </c>
      <c r="P716" s="668" t="str">
        <f>IFERROR(VLOOKUP(F716, [2]MOE!B:C, 2, FALSE), "No")</f>
        <v>No</v>
      </c>
      <c r="Q716" s="711" t="s">
        <v>1004</v>
      </c>
      <c r="S716" s="670" t="s">
        <v>1586</v>
      </c>
      <c r="T716" s="668" t="s">
        <v>1017</v>
      </c>
    </row>
    <row r="717" spans="1:20">
      <c r="A717" s="679">
        <v>1401490</v>
      </c>
      <c r="B717" s="677"/>
      <c r="C717" s="672"/>
      <c r="D717" s="672"/>
      <c r="E717" s="676" t="s">
        <v>1111</v>
      </c>
      <c r="F717" s="680" t="s">
        <v>1591</v>
      </c>
      <c r="G717" s="710">
        <v>140</v>
      </c>
      <c r="H717" s="682">
        <v>1490</v>
      </c>
      <c r="J717" s="668" t="str">
        <f t="shared" si="112"/>
        <v>(6) Sabbatical Leave</v>
      </c>
      <c r="L717" s="668">
        <v>86</v>
      </c>
      <c r="M717" s="669">
        <v>81</v>
      </c>
      <c r="N717" s="668"/>
      <c r="O717" s="668">
        <v>10</v>
      </c>
      <c r="P717" s="668" t="str">
        <f>IFERROR(VLOOKUP(F717, [2]MOE!B:C, 2, FALSE), "No")</f>
        <v>No</v>
      </c>
      <c r="Q717" s="711" t="s">
        <v>1004</v>
      </c>
      <c r="S717" s="670" t="s">
        <v>1586</v>
      </c>
      <c r="T717" s="668" t="s">
        <v>1019</v>
      </c>
    </row>
    <row r="718" spans="1:20">
      <c r="A718" s="679">
        <v>3001490</v>
      </c>
      <c r="B718" s="677"/>
      <c r="C718" s="672"/>
      <c r="D718" s="672" t="s">
        <v>777</v>
      </c>
      <c r="E718" s="676" t="s">
        <v>1113</v>
      </c>
      <c r="F718" s="680" t="s">
        <v>1592</v>
      </c>
      <c r="G718" s="710">
        <v>300</v>
      </c>
      <c r="H718" s="682">
        <v>1490</v>
      </c>
      <c r="J718" s="668" t="str">
        <f t="shared" si="112"/>
        <v>Purchased Professional and Technical Svcs</v>
      </c>
      <c r="L718" s="668">
        <v>101</v>
      </c>
      <c r="M718" s="669">
        <v>96</v>
      </c>
      <c r="N718" s="668"/>
      <c r="O718" s="668">
        <v>10</v>
      </c>
      <c r="P718" s="668" t="str">
        <f>IFERROR(VLOOKUP(F718, [2]MOE!B:C, 2, FALSE), "No")</f>
        <v>No</v>
      </c>
      <c r="Q718" s="711"/>
      <c r="S718" s="670" t="s">
        <v>1586</v>
      </c>
      <c r="T718" s="668" t="s">
        <v>1113</v>
      </c>
    </row>
    <row r="719" spans="1:20">
      <c r="A719" s="671"/>
      <c r="B719" s="677"/>
      <c r="C719" s="672"/>
      <c r="D719" s="672" t="s">
        <v>801</v>
      </c>
      <c r="E719" s="676" t="s">
        <v>250</v>
      </c>
      <c r="F719" s="675"/>
      <c r="G719" s="672"/>
      <c r="H719" s="676"/>
      <c r="Q719" s="711"/>
      <c r="S719" s="670"/>
    </row>
    <row r="720" spans="1:20">
      <c r="A720" s="679">
        <v>4301490</v>
      </c>
      <c r="B720" s="677"/>
      <c r="C720" s="672"/>
      <c r="D720" s="672"/>
      <c r="E720" s="676" t="s">
        <v>1115</v>
      </c>
      <c r="F720" s="680" t="s">
        <v>1593</v>
      </c>
      <c r="G720" s="710">
        <v>430</v>
      </c>
      <c r="H720" s="682">
        <v>1490</v>
      </c>
      <c r="J720" s="668" t="str">
        <f t="shared" ref="J720:J722" si="113">E720</f>
        <v>(1) Repairs and Maintenance Services</v>
      </c>
      <c r="L720" s="668">
        <v>107</v>
      </c>
      <c r="M720" s="669">
        <v>102</v>
      </c>
      <c r="N720" s="668"/>
      <c r="O720" s="668">
        <v>10</v>
      </c>
      <c r="P720" s="668" t="str">
        <f>IFERROR(VLOOKUP(F720, [2]MOE!B:C, 2, FALSE), "No")</f>
        <v>No</v>
      </c>
      <c r="Q720" s="711"/>
      <c r="S720" s="670" t="s">
        <v>1586</v>
      </c>
      <c r="T720" s="668" t="s">
        <v>1023</v>
      </c>
    </row>
    <row r="721" spans="1:20">
      <c r="A721" s="679">
        <v>4421490</v>
      </c>
      <c r="B721" s="677"/>
      <c r="C721" s="672"/>
      <c r="D721" s="672"/>
      <c r="E721" s="676" t="s">
        <v>1117</v>
      </c>
      <c r="F721" s="680" t="s">
        <v>1594</v>
      </c>
      <c r="G721" s="710">
        <v>442</v>
      </c>
      <c r="H721" s="682">
        <v>1490</v>
      </c>
      <c r="J721" s="668" t="str">
        <f t="shared" si="113"/>
        <v>(2) Rental of Equipment</v>
      </c>
      <c r="L721" s="668">
        <v>106</v>
      </c>
      <c r="M721" s="669">
        <v>101</v>
      </c>
      <c r="N721" s="668"/>
      <c r="O721" s="668">
        <v>10</v>
      </c>
      <c r="P721" s="668" t="str">
        <f>IFERROR(VLOOKUP(F721, [2]MOE!B:C, 2, FALSE), "No")</f>
        <v>No</v>
      </c>
      <c r="Q721" s="711"/>
      <c r="S721" s="670" t="s">
        <v>1586</v>
      </c>
      <c r="T721" s="668" t="s">
        <v>1025</v>
      </c>
    </row>
    <row r="722" spans="1:20">
      <c r="A722" s="679">
        <v>4001490</v>
      </c>
      <c r="B722" s="677"/>
      <c r="C722" s="672"/>
      <c r="D722" s="672"/>
      <c r="E722" s="676" t="s">
        <v>1119</v>
      </c>
      <c r="F722" s="680" t="s">
        <v>1595</v>
      </c>
      <c r="G722" s="710">
        <v>400</v>
      </c>
      <c r="H722" s="682">
        <v>1490</v>
      </c>
      <c r="J722" s="668" t="str">
        <f t="shared" si="113"/>
        <v>(3) Other Purchased Property Services</v>
      </c>
      <c r="L722" s="668">
        <v>108</v>
      </c>
      <c r="M722" s="669">
        <v>103</v>
      </c>
      <c r="N722" s="668"/>
      <c r="O722" s="668">
        <v>10</v>
      </c>
      <c r="P722" s="668" t="str">
        <f>IFERROR(VLOOKUP(F722, [2]MOE!B:C, 2, FALSE), "No")</f>
        <v>No</v>
      </c>
      <c r="Q722" s="711"/>
      <c r="S722" s="670" t="s">
        <v>1586</v>
      </c>
      <c r="T722" s="668" t="s">
        <v>1027</v>
      </c>
    </row>
    <row r="723" spans="1:20">
      <c r="A723" s="671"/>
      <c r="B723" s="677"/>
      <c r="C723" s="672"/>
      <c r="D723" s="672" t="s">
        <v>805</v>
      </c>
      <c r="E723" s="676" t="s">
        <v>252</v>
      </c>
      <c r="F723" s="675"/>
      <c r="G723" s="672"/>
      <c r="H723" s="676"/>
      <c r="Q723" s="711"/>
      <c r="S723" s="670"/>
    </row>
    <row r="724" spans="1:20">
      <c r="A724" s="671"/>
      <c r="B724" s="677"/>
      <c r="C724" s="672"/>
      <c r="D724" s="672"/>
      <c r="E724" s="676" t="s">
        <v>1596</v>
      </c>
      <c r="F724" s="675"/>
      <c r="G724" s="672"/>
      <c r="H724" s="676"/>
      <c r="Q724" s="711"/>
      <c r="S724" s="670"/>
    </row>
    <row r="725" spans="1:20">
      <c r="A725" s="679">
        <v>5611490</v>
      </c>
      <c r="B725" s="677"/>
      <c r="C725" s="672"/>
      <c r="D725" s="672"/>
      <c r="E725" s="676" t="s">
        <v>1122</v>
      </c>
      <c r="F725" s="680" t="s">
        <v>1597</v>
      </c>
      <c r="G725" s="710">
        <v>561</v>
      </c>
      <c r="H725" s="682">
        <v>1490</v>
      </c>
      <c r="J725" s="668" t="str">
        <f t="shared" ref="J725:J734" si="114">E725</f>
        <v>(a) Paid to Other LEA (In-State)</v>
      </c>
      <c r="L725" s="668">
        <v>119</v>
      </c>
      <c r="M725" s="669">
        <v>110</v>
      </c>
      <c r="N725" s="668"/>
      <c r="O725" s="668">
        <v>10</v>
      </c>
      <c r="P725" s="668" t="str">
        <f>IFERROR(VLOOKUP(F725, [2]MOE!B:C, 2, FALSE), "No")</f>
        <v>No</v>
      </c>
      <c r="Q725" s="711"/>
      <c r="S725" s="670" t="s">
        <v>1586</v>
      </c>
      <c r="T725" s="668" t="s">
        <v>1032</v>
      </c>
    </row>
    <row r="726" spans="1:20">
      <c r="A726" s="679">
        <v>5621490</v>
      </c>
      <c r="B726" s="677"/>
      <c r="C726" s="672"/>
      <c r="D726" s="672"/>
      <c r="E726" s="676" t="s">
        <v>1124</v>
      </c>
      <c r="F726" s="680" t="s">
        <v>1598</v>
      </c>
      <c r="G726" s="710">
        <v>562</v>
      </c>
      <c r="H726" s="682">
        <v>1490</v>
      </c>
      <c r="J726" s="668" t="str">
        <f t="shared" si="114"/>
        <v>(b) Paid to Other LEA (Out-of-State)</v>
      </c>
      <c r="L726" s="668">
        <v>119</v>
      </c>
      <c r="M726" s="669">
        <v>110</v>
      </c>
      <c r="N726" s="668"/>
      <c r="O726" s="668">
        <v>10</v>
      </c>
      <c r="P726" s="668" t="str">
        <f>IFERROR(VLOOKUP(F726, [2]MOE!B:C, 2, FALSE), "No")</f>
        <v>No</v>
      </c>
      <c r="Q726" s="711"/>
      <c r="S726" s="670" t="s">
        <v>1586</v>
      </c>
      <c r="T726" s="668" t="s">
        <v>1035</v>
      </c>
    </row>
    <row r="727" spans="1:20">
      <c r="A727" s="679">
        <v>5631490</v>
      </c>
      <c r="B727" s="677"/>
      <c r="C727" s="672"/>
      <c r="D727" s="672"/>
      <c r="E727" s="676" t="s">
        <v>1126</v>
      </c>
      <c r="F727" s="680" t="s">
        <v>1599</v>
      </c>
      <c r="G727" s="710">
        <v>563</v>
      </c>
      <c r="H727" s="682">
        <v>1490</v>
      </c>
      <c r="J727" s="668" t="str">
        <f t="shared" si="114"/>
        <v>(c) Paid to Non-Public Schools - Vouchers</v>
      </c>
      <c r="L727" s="668">
        <v>119</v>
      </c>
      <c r="M727" s="669">
        <v>110</v>
      </c>
      <c r="N727" s="668"/>
      <c r="O727" s="668">
        <v>10</v>
      </c>
      <c r="P727" s="668" t="str">
        <f>IFERROR(VLOOKUP(F727, [2]MOE!B:C, 2, FALSE), "No")</f>
        <v>No</v>
      </c>
      <c r="Q727" s="711"/>
      <c r="S727" s="670" t="s">
        <v>1586</v>
      </c>
      <c r="T727" s="668" t="s">
        <v>1128</v>
      </c>
    </row>
    <row r="728" spans="1:20">
      <c r="A728" s="679">
        <v>5641490</v>
      </c>
      <c r="B728" s="677"/>
      <c r="C728" s="672"/>
      <c r="D728" s="672"/>
      <c r="E728" s="676" t="s">
        <v>1600</v>
      </c>
      <c r="F728" s="680" t="s">
        <v>1601</v>
      </c>
      <c r="G728" s="710">
        <v>564</v>
      </c>
      <c r="H728" s="682">
        <v>1490</v>
      </c>
      <c r="J728" s="668" t="str">
        <f t="shared" si="114"/>
        <v>(d) Other Than LEA's (In-State)</v>
      </c>
      <c r="L728" s="668">
        <v>119</v>
      </c>
      <c r="M728" s="669">
        <v>110</v>
      </c>
      <c r="N728" s="668"/>
      <c r="O728" s="668">
        <v>10</v>
      </c>
      <c r="P728" s="668" t="str">
        <f>IFERROR(VLOOKUP(F728, [2]MOE!B:C, 2, FALSE), "No")</f>
        <v>No</v>
      </c>
      <c r="Q728" s="711"/>
      <c r="S728" s="670" t="s">
        <v>1586</v>
      </c>
      <c r="T728" s="668" t="s">
        <v>1602</v>
      </c>
    </row>
    <row r="729" spans="1:20">
      <c r="A729" s="679">
        <v>5651490</v>
      </c>
      <c r="B729" s="677"/>
      <c r="C729" s="672"/>
      <c r="D729" s="672"/>
      <c r="E729" s="676" t="s">
        <v>1603</v>
      </c>
      <c r="F729" s="680" t="s">
        <v>1604</v>
      </c>
      <c r="G729" s="710">
        <v>565</v>
      </c>
      <c r="H729" s="682">
        <v>1490</v>
      </c>
      <c r="J729" s="668" t="str">
        <f t="shared" si="114"/>
        <v>(e) Other Than LEA's (Out-Of-State)</v>
      </c>
      <c r="L729" s="668">
        <v>119</v>
      </c>
      <c r="M729" s="669">
        <v>110</v>
      </c>
      <c r="N729" s="668"/>
      <c r="O729" s="668">
        <v>10</v>
      </c>
      <c r="P729" s="668" t="str">
        <f>IFERROR(VLOOKUP(F729, [2]MOE!B:C, 2, FALSE), "No")</f>
        <v>No</v>
      </c>
      <c r="Q729" s="711"/>
      <c r="S729" s="670" t="s">
        <v>1586</v>
      </c>
      <c r="T729" s="668" t="s">
        <v>1605</v>
      </c>
    </row>
    <row r="730" spans="1:20">
      <c r="A730" s="679">
        <v>5661490</v>
      </c>
      <c r="B730" s="677"/>
      <c r="C730" s="672"/>
      <c r="D730" s="672"/>
      <c r="E730" s="676" t="s">
        <v>1606</v>
      </c>
      <c r="F730" s="680" t="s">
        <v>1607</v>
      </c>
      <c r="G730" s="710">
        <v>566</v>
      </c>
      <c r="H730" s="682">
        <v>1490</v>
      </c>
      <c r="J730" s="668" t="str">
        <f t="shared" si="114"/>
        <v>(f) Paid To Charter Schools - Vouchers</v>
      </c>
      <c r="L730" s="668">
        <v>119</v>
      </c>
      <c r="M730" s="669">
        <v>110</v>
      </c>
      <c r="N730" s="668"/>
      <c r="O730" s="668">
        <v>10</v>
      </c>
      <c r="P730" s="668" t="str">
        <f>IFERROR(VLOOKUP(F730, [2]MOE!B:C, 2, FALSE), "No")</f>
        <v>No</v>
      </c>
      <c r="Q730" s="711"/>
      <c r="S730" s="670" t="s">
        <v>1586</v>
      </c>
      <c r="T730" s="668" t="s">
        <v>1131</v>
      </c>
    </row>
    <row r="731" spans="1:20">
      <c r="A731" s="679">
        <v>5671490</v>
      </c>
      <c r="B731" s="677"/>
      <c r="C731" s="672"/>
      <c r="D731" s="672"/>
      <c r="E731" s="676" t="s">
        <v>1608</v>
      </c>
      <c r="F731" s="680" t="s">
        <v>1609</v>
      </c>
      <c r="G731" s="710">
        <v>567</v>
      </c>
      <c r="H731" s="682">
        <v>1490</v>
      </c>
      <c r="J731" s="668" t="str">
        <f t="shared" si="114"/>
        <v>(g) Paid To Sch. District - Vouchers</v>
      </c>
      <c r="L731" s="668">
        <v>119</v>
      </c>
      <c r="M731" s="669">
        <v>110</v>
      </c>
      <c r="N731" s="668"/>
      <c r="O731" s="668">
        <v>10</v>
      </c>
      <c r="P731" s="668" t="str">
        <f>IFERROR(VLOOKUP(F731, [2]MOE!B:C, 2, FALSE), "No")</f>
        <v>No</v>
      </c>
      <c r="Q731" s="711"/>
      <c r="S731" s="670" t="s">
        <v>1586</v>
      </c>
      <c r="T731" s="668" t="s">
        <v>1610</v>
      </c>
    </row>
    <row r="732" spans="1:20">
      <c r="A732" s="679">
        <v>5691490</v>
      </c>
      <c r="B732" s="677"/>
      <c r="C732" s="672"/>
      <c r="D732" s="672"/>
      <c r="E732" s="676" t="s">
        <v>1611</v>
      </c>
      <c r="F732" s="680" t="s">
        <v>1612</v>
      </c>
      <c r="G732" s="710">
        <v>569</v>
      </c>
      <c r="H732" s="682">
        <v>1490</v>
      </c>
      <c r="J732" s="668" t="str">
        <f t="shared" si="114"/>
        <v>(h) Paid To All Others</v>
      </c>
      <c r="L732" s="668">
        <v>119</v>
      </c>
      <c r="M732" s="669">
        <v>110</v>
      </c>
      <c r="N732" s="668"/>
      <c r="O732" s="668">
        <v>10</v>
      </c>
      <c r="P732" s="668" t="str">
        <f>IFERROR(VLOOKUP(F732, [2]MOE!B:C, 2, FALSE), "No")</f>
        <v>No</v>
      </c>
      <c r="Q732" s="711"/>
      <c r="S732" s="670" t="s">
        <v>1586</v>
      </c>
      <c r="T732" s="668" t="s">
        <v>1613</v>
      </c>
    </row>
    <row r="733" spans="1:20">
      <c r="A733" s="679">
        <v>5821490</v>
      </c>
      <c r="B733" s="677"/>
      <c r="C733" s="672"/>
      <c r="D733" s="672"/>
      <c r="E733" s="676" t="s">
        <v>1135</v>
      </c>
      <c r="F733" s="680" t="s">
        <v>1614</v>
      </c>
      <c r="G733" s="710">
        <v>582</v>
      </c>
      <c r="H733" s="682">
        <v>1490</v>
      </c>
      <c r="J733" s="668" t="str">
        <f t="shared" si="114"/>
        <v>(2) Travel Expense Reimbursement</v>
      </c>
      <c r="L733" s="668">
        <v>118</v>
      </c>
      <c r="M733" s="669">
        <v>109</v>
      </c>
      <c r="N733" s="668"/>
      <c r="O733" s="668">
        <v>10</v>
      </c>
      <c r="P733" s="668" t="str">
        <f>IFERROR(VLOOKUP(F733, [2]MOE!B:C, 2, FALSE), "No")</f>
        <v>No</v>
      </c>
      <c r="Q733" s="711"/>
      <c r="S733" s="670" t="s">
        <v>1586</v>
      </c>
      <c r="T733" s="668" t="s">
        <v>1039</v>
      </c>
    </row>
    <row r="734" spans="1:20">
      <c r="A734" s="679">
        <v>5001490</v>
      </c>
      <c r="B734" s="677"/>
      <c r="C734" s="672"/>
      <c r="D734" s="672"/>
      <c r="E734" s="676" t="s">
        <v>1137</v>
      </c>
      <c r="F734" s="680" t="s">
        <v>1615</v>
      </c>
      <c r="G734" s="710">
        <v>500</v>
      </c>
      <c r="H734" s="682">
        <v>1490</v>
      </c>
      <c r="J734" s="668" t="str">
        <f t="shared" si="114"/>
        <v>(3) Other Purchased Services</v>
      </c>
      <c r="L734" s="668">
        <v>119</v>
      </c>
      <c r="M734" s="669">
        <v>110</v>
      </c>
      <c r="N734" s="668"/>
      <c r="O734" s="668">
        <v>10</v>
      </c>
      <c r="P734" s="668" t="str">
        <f>IFERROR(VLOOKUP(F734, [2]MOE!B:C, 2, FALSE), "No")</f>
        <v>No</v>
      </c>
      <c r="Q734" s="711"/>
      <c r="S734" s="670" t="s">
        <v>1586</v>
      </c>
      <c r="T734" s="668" t="s">
        <v>252</v>
      </c>
    </row>
    <row r="735" spans="1:20">
      <c r="A735" s="671"/>
      <c r="B735" s="677"/>
      <c r="C735" s="672"/>
      <c r="D735" s="672" t="s">
        <v>850</v>
      </c>
      <c r="E735" s="676" t="s">
        <v>1042</v>
      </c>
      <c r="F735" s="675"/>
      <c r="G735" s="672"/>
      <c r="H735" s="676"/>
      <c r="Q735" s="711"/>
      <c r="S735" s="670"/>
    </row>
    <row r="736" spans="1:20">
      <c r="A736" s="679">
        <v>6151490</v>
      </c>
      <c r="B736" s="677"/>
      <c r="C736" s="672"/>
      <c r="D736" s="672"/>
      <c r="E736" s="676" t="s">
        <v>1139</v>
      </c>
      <c r="F736" s="680" t="s">
        <v>1616</v>
      </c>
      <c r="G736" s="710">
        <v>615</v>
      </c>
      <c r="H736" s="682">
        <v>1490</v>
      </c>
      <c r="J736" s="668" t="str">
        <f t="shared" ref="J736:J739" si="115">E736</f>
        <v>(1) Technology-Related Supplies</v>
      </c>
      <c r="L736" s="668">
        <v>126</v>
      </c>
      <c r="M736" s="669">
        <v>117</v>
      </c>
      <c r="N736" s="668"/>
      <c r="O736" s="668">
        <v>10</v>
      </c>
      <c r="P736" s="668" t="str">
        <f>IFERROR(VLOOKUP(F736, [2]MOE!B:C, 2, FALSE), "No")</f>
        <v>No</v>
      </c>
      <c r="Q736" s="711" t="s">
        <v>1045</v>
      </c>
      <c r="S736" s="670" t="s">
        <v>1586</v>
      </c>
      <c r="T736" s="668" t="s">
        <v>1043</v>
      </c>
    </row>
    <row r="737" spans="1:20">
      <c r="A737" s="679">
        <v>6101490</v>
      </c>
      <c r="B737" s="677"/>
      <c r="C737" s="672"/>
      <c r="D737" s="672"/>
      <c r="E737" s="676" t="s">
        <v>1141</v>
      </c>
      <c r="F737" s="680" t="s">
        <v>1617</v>
      </c>
      <c r="G737" s="710">
        <v>610</v>
      </c>
      <c r="H737" s="682">
        <v>1490</v>
      </c>
      <c r="J737" s="668" t="str">
        <f t="shared" si="115"/>
        <v>(2) Materials and Supplies</v>
      </c>
      <c r="L737" s="668">
        <v>122</v>
      </c>
      <c r="M737" s="669">
        <v>113</v>
      </c>
      <c r="N737" s="668"/>
      <c r="O737" s="668">
        <v>10</v>
      </c>
      <c r="P737" s="668" t="str">
        <f>IFERROR(VLOOKUP(F737, [2]MOE!B:C, 2, FALSE), "No")</f>
        <v>No</v>
      </c>
      <c r="Q737" s="711" t="s">
        <v>1045</v>
      </c>
      <c r="S737" s="670" t="s">
        <v>1586</v>
      </c>
      <c r="T737" s="668" t="s">
        <v>39</v>
      </c>
    </row>
    <row r="738" spans="1:20">
      <c r="A738" s="679">
        <v>6421490</v>
      </c>
      <c r="B738" s="677"/>
      <c r="C738" s="672"/>
      <c r="D738" s="672"/>
      <c r="E738" s="676" t="s">
        <v>1143</v>
      </c>
      <c r="F738" s="680" t="s">
        <v>1618</v>
      </c>
      <c r="G738" s="710">
        <v>642</v>
      </c>
      <c r="H738" s="682">
        <v>1490</v>
      </c>
      <c r="J738" s="668" t="str">
        <f t="shared" si="115"/>
        <v>(3) Textbooks/Workbooks</v>
      </c>
      <c r="L738" s="668">
        <v>125</v>
      </c>
      <c r="M738" s="669">
        <v>116</v>
      </c>
      <c r="N738" s="668"/>
      <c r="O738" s="668">
        <v>10</v>
      </c>
      <c r="P738" s="668" t="str">
        <f>IFERROR(VLOOKUP(F738, [2]MOE!B:C, 2, FALSE), "No")</f>
        <v>No</v>
      </c>
      <c r="Q738" s="711" t="s">
        <v>1045</v>
      </c>
      <c r="S738" s="670" t="s">
        <v>1586</v>
      </c>
      <c r="T738" s="668" t="s">
        <v>1048</v>
      </c>
    </row>
    <row r="739" spans="1:20">
      <c r="A739" s="679">
        <v>6001490</v>
      </c>
      <c r="B739" s="677"/>
      <c r="C739" s="672"/>
      <c r="D739" s="672"/>
      <c r="E739" s="676" t="s">
        <v>1145</v>
      </c>
      <c r="F739" s="680" t="s">
        <v>1619</v>
      </c>
      <c r="G739" s="710">
        <v>600</v>
      </c>
      <c r="H739" s="682">
        <v>1490</v>
      </c>
      <c r="J739" s="668" t="str">
        <f t="shared" si="115"/>
        <v>(4) Other Supplies</v>
      </c>
      <c r="L739" s="668">
        <v>126</v>
      </c>
      <c r="M739" s="669">
        <v>117</v>
      </c>
      <c r="N739" s="668"/>
      <c r="O739" s="668">
        <v>10</v>
      </c>
      <c r="P739" s="668" t="str">
        <f>IFERROR(VLOOKUP(F739, [2]MOE!B:C, 2, FALSE), "No")</f>
        <v>No</v>
      </c>
      <c r="Q739" s="711"/>
      <c r="S739" s="670" t="s">
        <v>1586</v>
      </c>
      <c r="T739" s="668" t="s">
        <v>1050</v>
      </c>
    </row>
    <row r="740" spans="1:20">
      <c r="A740" s="671"/>
      <c r="B740" s="677"/>
      <c r="C740" s="672"/>
      <c r="D740" s="672" t="s">
        <v>853</v>
      </c>
      <c r="E740" s="676" t="s">
        <v>1052</v>
      </c>
      <c r="F740" s="675"/>
      <c r="G740" s="672"/>
      <c r="H740" s="676"/>
      <c r="Q740" s="711"/>
      <c r="S740" s="670"/>
    </row>
    <row r="741" spans="1:20">
      <c r="A741" s="679">
        <v>7341490</v>
      </c>
      <c r="B741" s="677"/>
      <c r="C741" s="672"/>
      <c r="D741" s="672"/>
      <c r="E741" s="676" t="s">
        <v>1147</v>
      </c>
      <c r="F741" s="680" t="s">
        <v>1620</v>
      </c>
      <c r="G741" s="710">
        <v>734</v>
      </c>
      <c r="H741" s="682">
        <v>1490</v>
      </c>
      <c r="J741" s="668" t="str">
        <f t="shared" ref="J741:J744" si="116">E741</f>
        <v>(1) Technology-Related Hardware</v>
      </c>
      <c r="L741" s="668">
        <v>131</v>
      </c>
      <c r="M741" s="669">
        <v>122</v>
      </c>
      <c r="N741" s="668"/>
      <c r="O741" s="668">
        <v>10</v>
      </c>
      <c r="P741" s="668" t="str">
        <f>IFERROR(VLOOKUP(F741, [2]MOE!B:C, 2, FALSE), "No")</f>
        <v>No</v>
      </c>
      <c r="Q741" s="711"/>
      <c r="S741" s="670" t="s">
        <v>1586</v>
      </c>
      <c r="T741" s="668" t="s">
        <v>1053</v>
      </c>
    </row>
    <row r="742" spans="1:20">
      <c r="A742" s="679">
        <v>7351490</v>
      </c>
      <c r="B742" s="677"/>
      <c r="C742" s="672"/>
      <c r="D742" s="672"/>
      <c r="E742" s="676" t="s">
        <v>1149</v>
      </c>
      <c r="F742" s="680" t="s">
        <v>1621</v>
      </c>
      <c r="G742" s="710">
        <v>735</v>
      </c>
      <c r="H742" s="682">
        <v>1490</v>
      </c>
      <c r="J742" s="668" t="str">
        <f t="shared" si="116"/>
        <v>(2) Technology Software</v>
      </c>
      <c r="L742" s="668">
        <v>131</v>
      </c>
      <c r="M742" s="669">
        <v>122</v>
      </c>
      <c r="N742" s="668"/>
      <c r="O742" s="668">
        <v>10</v>
      </c>
      <c r="P742" s="668" t="str">
        <f>IFERROR(VLOOKUP(F742, [2]MOE!B:C, 2, FALSE), "No")</f>
        <v>No</v>
      </c>
      <c r="Q742" s="711"/>
      <c r="S742" s="670" t="s">
        <v>1586</v>
      </c>
      <c r="T742" s="668" t="s">
        <v>1055</v>
      </c>
    </row>
    <row r="743" spans="1:20">
      <c r="A743" s="679">
        <v>7301490</v>
      </c>
      <c r="B743" s="677"/>
      <c r="C743" s="672"/>
      <c r="D743" s="672"/>
      <c r="E743" s="676" t="s">
        <v>1151</v>
      </c>
      <c r="F743" s="680" t="s">
        <v>1622</v>
      </c>
      <c r="G743" s="710">
        <v>730</v>
      </c>
      <c r="H743" s="682">
        <v>1490</v>
      </c>
      <c r="J743" s="668" t="str">
        <f t="shared" si="116"/>
        <v>(3) All Other Equipment</v>
      </c>
      <c r="L743" s="668">
        <v>131</v>
      </c>
      <c r="M743" s="669">
        <v>122</v>
      </c>
      <c r="N743" s="668"/>
      <c r="O743" s="668">
        <v>10</v>
      </c>
      <c r="P743" s="668" t="str">
        <f>IFERROR(VLOOKUP(F743, [2]MOE!B:C, 2, FALSE), "No")</f>
        <v>No</v>
      </c>
      <c r="Q743" s="711"/>
      <c r="S743" s="670" t="s">
        <v>1586</v>
      </c>
      <c r="T743" s="668" t="s">
        <v>1057</v>
      </c>
    </row>
    <row r="744" spans="1:20">
      <c r="A744" s="679">
        <v>7001490</v>
      </c>
      <c r="B744" s="677"/>
      <c r="C744" s="672"/>
      <c r="D744" s="672"/>
      <c r="E744" s="676" t="s">
        <v>1153</v>
      </c>
      <c r="F744" s="680" t="s">
        <v>1623</v>
      </c>
      <c r="G744" s="710">
        <v>700</v>
      </c>
      <c r="H744" s="682">
        <v>1490</v>
      </c>
      <c r="J744" s="668" t="str">
        <f t="shared" si="116"/>
        <v>(4) Other Property</v>
      </c>
      <c r="L744" s="668">
        <v>132</v>
      </c>
      <c r="M744" s="669">
        <v>123</v>
      </c>
      <c r="N744" s="668"/>
      <c r="O744" s="668">
        <v>10</v>
      </c>
      <c r="P744" s="668" t="str">
        <f>IFERROR(VLOOKUP(F744, [2]MOE!B:C, 2, FALSE), "No")</f>
        <v>No</v>
      </c>
      <c r="Q744" s="711"/>
      <c r="S744" s="670" t="s">
        <v>1586</v>
      </c>
      <c r="T744" s="668" t="s">
        <v>1059</v>
      </c>
    </row>
    <row r="745" spans="1:20">
      <c r="A745" s="671"/>
      <c r="B745" s="677"/>
      <c r="C745" s="672"/>
      <c r="D745" s="672" t="s">
        <v>856</v>
      </c>
      <c r="E745" s="676" t="s">
        <v>256</v>
      </c>
      <c r="F745" s="675"/>
      <c r="G745" s="672"/>
      <c r="H745" s="676"/>
      <c r="Q745" s="711"/>
      <c r="S745" s="670"/>
    </row>
    <row r="746" spans="1:20">
      <c r="A746" s="679">
        <v>8951490</v>
      </c>
      <c r="B746" s="677"/>
      <c r="C746" s="672"/>
      <c r="D746" s="672"/>
      <c r="E746" s="676" t="s">
        <v>1155</v>
      </c>
      <c r="F746" s="680" t="s">
        <v>1624</v>
      </c>
      <c r="G746" s="710">
        <v>895</v>
      </c>
      <c r="H746" s="682">
        <v>1490</v>
      </c>
      <c r="J746" s="668" t="str">
        <f t="shared" ref="J746:J747" si="117">E746</f>
        <v>(1) Miscellaneous Non-Public Expenditures</v>
      </c>
      <c r="L746" s="668">
        <v>139</v>
      </c>
      <c r="M746" s="669">
        <v>129</v>
      </c>
      <c r="N746" s="668"/>
      <c r="O746" s="668">
        <v>10</v>
      </c>
      <c r="P746" s="668" t="str">
        <f>IFERROR(VLOOKUP(F746, [2]MOE!B:C, 2, FALSE), "No")</f>
        <v>No</v>
      </c>
      <c r="Q746" s="711"/>
      <c r="S746" s="670" t="s">
        <v>1586</v>
      </c>
      <c r="T746" s="668" t="s">
        <v>1061</v>
      </c>
    </row>
    <row r="747" spans="1:20">
      <c r="A747" s="679">
        <v>8001490</v>
      </c>
      <c r="B747" s="719"/>
      <c r="C747" s="681"/>
      <c r="D747" s="681"/>
      <c r="E747" s="686" t="s">
        <v>1157</v>
      </c>
      <c r="F747" s="680" t="s">
        <v>1625</v>
      </c>
      <c r="G747" s="710">
        <v>800</v>
      </c>
      <c r="H747" s="682">
        <v>1490</v>
      </c>
      <c r="J747" s="668" t="str">
        <f t="shared" si="117"/>
        <v>(2) Other Miscellaneous Expenditures</v>
      </c>
      <c r="L747" s="668">
        <v>139</v>
      </c>
      <c r="M747" s="669">
        <v>129</v>
      </c>
      <c r="N747" s="668"/>
      <c r="O747" s="668">
        <v>10</v>
      </c>
      <c r="P747" s="668" t="str">
        <f>IFERROR(VLOOKUP(F747, [2]MOE!B:C, 2, FALSE), "No")</f>
        <v>No</v>
      </c>
      <c r="Q747" s="711"/>
      <c r="S747" s="670" t="s">
        <v>1586</v>
      </c>
      <c r="T747" s="668" t="s">
        <v>1063</v>
      </c>
    </row>
    <row r="748" spans="1:20">
      <c r="A748" s="671"/>
      <c r="B748" s="677"/>
      <c r="C748" s="672"/>
      <c r="D748" s="672" t="s">
        <v>859</v>
      </c>
      <c r="E748" s="676" t="s">
        <v>1065</v>
      </c>
      <c r="F748" s="675"/>
      <c r="G748" s="672"/>
      <c r="H748" s="676"/>
      <c r="Q748" s="711"/>
      <c r="S748" s="670"/>
    </row>
    <row r="749" spans="1:20">
      <c r="A749" s="679">
        <v>2101490</v>
      </c>
      <c r="B749" s="677"/>
      <c r="C749" s="672"/>
      <c r="D749" s="672"/>
      <c r="E749" s="676" t="s">
        <v>1159</v>
      </c>
      <c r="F749" s="680" t="s">
        <v>1626</v>
      </c>
      <c r="G749" s="710">
        <v>210</v>
      </c>
      <c r="H749" s="682">
        <v>1490</v>
      </c>
      <c r="J749" s="668" t="str">
        <f t="shared" ref="J749:J751" si="118">E749</f>
        <v>(1) Group Insurance</v>
      </c>
      <c r="L749" s="668">
        <v>89</v>
      </c>
      <c r="M749" s="669">
        <v>84</v>
      </c>
      <c r="N749" s="668"/>
      <c r="O749" s="668">
        <v>10</v>
      </c>
      <c r="P749" s="668" t="str">
        <f>IFERROR(VLOOKUP(F749, [2]MOE!B:C, 2, FALSE), "No")</f>
        <v>No</v>
      </c>
      <c r="Q749" s="711" t="s">
        <v>1004</v>
      </c>
      <c r="S749" s="670" t="s">
        <v>1586</v>
      </c>
      <c r="T749" s="668" t="s">
        <v>1066</v>
      </c>
    </row>
    <row r="750" spans="1:20">
      <c r="A750" s="679">
        <v>2201490</v>
      </c>
      <c r="B750" s="677"/>
      <c r="C750" s="672"/>
      <c r="D750" s="672"/>
      <c r="E750" s="676" t="s">
        <v>1161</v>
      </c>
      <c r="F750" s="680" t="s">
        <v>1627</v>
      </c>
      <c r="G750" s="710">
        <v>220</v>
      </c>
      <c r="H750" s="682">
        <v>1490</v>
      </c>
      <c r="J750" s="668" t="str">
        <f t="shared" si="118"/>
        <v>(2) FICA</v>
      </c>
      <c r="L750" s="668">
        <v>90</v>
      </c>
      <c r="M750" s="669">
        <v>85</v>
      </c>
      <c r="N750" s="668"/>
      <c r="O750" s="668">
        <v>10</v>
      </c>
      <c r="P750" s="668" t="str">
        <f>IFERROR(VLOOKUP(F750, [2]MOE!B:C, 2, FALSE), "No")</f>
        <v>No</v>
      </c>
      <c r="Q750" s="711" t="s">
        <v>1004</v>
      </c>
      <c r="S750" s="670" t="s">
        <v>1586</v>
      </c>
      <c r="T750" s="668" t="s">
        <v>1068</v>
      </c>
    </row>
    <row r="751" spans="1:20">
      <c r="A751" s="679">
        <v>2251490</v>
      </c>
      <c r="B751" s="677"/>
      <c r="C751" s="672"/>
      <c r="D751" s="672"/>
      <c r="E751" s="676" t="s">
        <v>1163</v>
      </c>
      <c r="F751" s="680" t="s">
        <v>1628</v>
      </c>
      <c r="G751" s="710">
        <v>225</v>
      </c>
      <c r="H751" s="682">
        <v>1490</v>
      </c>
      <c r="J751" s="668" t="str">
        <f t="shared" si="118"/>
        <v>(3) Medicare</v>
      </c>
      <c r="L751" s="668">
        <v>91</v>
      </c>
      <c r="M751" s="669">
        <v>86</v>
      </c>
      <c r="N751" s="668"/>
      <c r="O751" s="668">
        <v>10</v>
      </c>
      <c r="P751" s="668" t="str">
        <f>IFERROR(VLOOKUP(F751, [2]MOE!B:C, 2, FALSE), "No")</f>
        <v>No</v>
      </c>
      <c r="Q751" s="711" t="s">
        <v>1004</v>
      </c>
      <c r="S751" s="670" t="s">
        <v>1586</v>
      </c>
      <c r="T751" s="668" t="s">
        <v>23</v>
      </c>
    </row>
    <row r="752" spans="1:20">
      <c r="A752" s="671"/>
      <c r="B752" s="677"/>
      <c r="C752" s="672"/>
      <c r="D752" s="672"/>
      <c r="E752" s="676" t="s">
        <v>1165</v>
      </c>
      <c r="F752" s="675"/>
      <c r="G752" s="672"/>
      <c r="H752" s="676"/>
      <c r="Q752" s="711"/>
      <c r="S752" s="670"/>
    </row>
    <row r="753" spans="1:20">
      <c r="A753" s="679">
        <v>2311490</v>
      </c>
      <c r="B753" s="677"/>
      <c r="C753" s="672"/>
      <c r="D753" s="672"/>
      <c r="E753" s="676" t="s">
        <v>1166</v>
      </c>
      <c r="F753" s="680" t="s">
        <v>1629</v>
      </c>
      <c r="G753" s="710">
        <v>231</v>
      </c>
      <c r="H753" s="682">
        <v>1490</v>
      </c>
      <c r="J753" s="668" t="str">
        <f t="shared" ref="J753:J761" si="119">E753</f>
        <v>(a) Louisiana Teachers Retirement</v>
      </c>
      <c r="L753" s="668">
        <v>92</v>
      </c>
      <c r="M753" s="669">
        <v>87</v>
      </c>
      <c r="N753" s="668"/>
      <c r="O753" s="668">
        <v>10</v>
      </c>
      <c r="P753" s="668" t="str">
        <f>IFERROR(VLOOKUP(F753, [2]MOE!B:C, 2, FALSE), "No")</f>
        <v>No</v>
      </c>
      <c r="Q753" s="711" t="s">
        <v>1004</v>
      </c>
      <c r="S753" s="670" t="s">
        <v>1586</v>
      </c>
      <c r="T753" s="668" t="s">
        <v>1074</v>
      </c>
    </row>
    <row r="754" spans="1:20">
      <c r="A754" s="679">
        <v>2331490</v>
      </c>
      <c r="B754" s="677"/>
      <c r="C754" s="672"/>
      <c r="D754" s="672"/>
      <c r="E754" s="676" t="s">
        <v>1168</v>
      </c>
      <c r="F754" s="680" t="s">
        <v>1630</v>
      </c>
      <c r="G754" s="710">
        <v>233</v>
      </c>
      <c r="H754" s="682">
        <v>1490</v>
      </c>
      <c r="J754" s="668" t="str">
        <f t="shared" si="119"/>
        <v>(b) Louisiana School Emp. Retirement</v>
      </c>
      <c r="L754" s="668">
        <v>92</v>
      </c>
      <c r="M754" s="669">
        <v>87</v>
      </c>
      <c r="N754" s="668"/>
      <c r="O754" s="668">
        <v>10</v>
      </c>
      <c r="P754" s="668" t="str">
        <f>IFERROR(VLOOKUP(F754, [2]MOE!B:C, 2, FALSE), "No")</f>
        <v>No</v>
      </c>
      <c r="Q754" s="711" t="s">
        <v>1004</v>
      </c>
      <c r="S754" s="670" t="s">
        <v>1586</v>
      </c>
      <c r="T754" s="668" t="s">
        <v>1170</v>
      </c>
    </row>
    <row r="755" spans="1:20">
      <c r="A755" s="679">
        <v>2391490</v>
      </c>
      <c r="B755" s="677"/>
      <c r="C755" s="672"/>
      <c r="D755" s="672"/>
      <c r="E755" s="676" t="s">
        <v>1171</v>
      </c>
      <c r="F755" s="680" t="s">
        <v>1631</v>
      </c>
      <c r="G755" s="710">
        <v>239</v>
      </c>
      <c r="H755" s="682">
        <v>1490</v>
      </c>
      <c r="J755" s="668" t="str">
        <f t="shared" si="119"/>
        <v>(c) Other Retirement</v>
      </c>
      <c r="L755" s="668">
        <v>92</v>
      </c>
      <c r="M755" s="669">
        <v>87</v>
      </c>
      <c r="N755" s="668"/>
      <c r="O755" s="668">
        <v>10</v>
      </c>
      <c r="P755" s="668" t="str">
        <f>IFERROR(VLOOKUP(F755, [2]MOE!B:C, 2, FALSE), "No")</f>
        <v>No</v>
      </c>
      <c r="Q755" s="711" t="s">
        <v>1004</v>
      </c>
      <c r="S755" s="670" t="s">
        <v>1586</v>
      </c>
      <c r="T755" s="668" t="s">
        <v>1080</v>
      </c>
    </row>
    <row r="756" spans="1:20">
      <c r="A756" s="679">
        <v>2501490</v>
      </c>
      <c r="B756" s="677"/>
      <c r="C756" s="672"/>
      <c r="D756" s="672"/>
      <c r="E756" s="676" t="s">
        <v>1173</v>
      </c>
      <c r="F756" s="680" t="s">
        <v>1632</v>
      </c>
      <c r="G756" s="710">
        <v>250</v>
      </c>
      <c r="H756" s="682">
        <v>1490</v>
      </c>
      <c r="J756" s="668" t="str">
        <f t="shared" si="119"/>
        <v>(5) Unemployment Compensation</v>
      </c>
      <c r="L756" s="668">
        <v>93</v>
      </c>
      <c r="M756" s="669">
        <v>88</v>
      </c>
      <c r="N756" s="668"/>
      <c r="O756" s="668">
        <v>10</v>
      </c>
      <c r="P756" s="668" t="str">
        <f>IFERROR(VLOOKUP(F756, [2]MOE!B:C, 2, FALSE), "No")</f>
        <v>No</v>
      </c>
      <c r="Q756" s="711" t="s">
        <v>1004</v>
      </c>
      <c r="S756" s="670" t="s">
        <v>1586</v>
      </c>
      <c r="T756" s="668" t="s">
        <v>1081</v>
      </c>
    </row>
    <row r="757" spans="1:20">
      <c r="A757" s="679">
        <v>2601490</v>
      </c>
      <c r="B757" s="677"/>
      <c r="C757" s="672"/>
      <c r="D757" s="672"/>
      <c r="E757" s="676" t="s">
        <v>1175</v>
      </c>
      <c r="F757" s="680" t="s">
        <v>1633</v>
      </c>
      <c r="G757" s="710">
        <v>260</v>
      </c>
      <c r="H757" s="682">
        <v>1490</v>
      </c>
      <c r="J757" s="668" t="str">
        <f t="shared" si="119"/>
        <v>(6) Workmen's Compensation</v>
      </c>
      <c r="L757" s="668">
        <v>95</v>
      </c>
      <c r="M757" s="669">
        <v>90</v>
      </c>
      <c r="N757" s="668"/>
      <c r="O757" s="668">
        <v>10</v>
      </c>
      <c r="P757" s="668" t="str">
        <f>IFERROR(VLOOKUP(F757, [2]MOE!B:C, 2, FALSE), "No")</f>
        <v>No</v>
      </c>
      <c r="Q757" s="711" t="s">
        <v>1004</v>
      </c>
      <c r="S757" s="670" t="s">
        <v>1586</v>
      </c>
      <c r="T757" s="668" t="s">
        <v>1083</v>
      </c>
    </row>
    <row r="758" spans="1:20">
      <c r="A758" s="679">
        <v>2701490</v>
      </c>
      <c r="B758" s="677"/>
      <c r="C758" s="672"/>
      <c r="D758" s="672"/>
      <c r="E758" s="676" t="s">
        <v>1177</v>
      </c>
      <c r="F758" s="680" t="s">
        <v>1634</v>
      </c>
      <c r="G758" s="710">
        <v>270</v>
      </c>
      <c r="H758" s="682">
        <v>1490</v>
      </c>
      <c r="J758" s="668" t="str">
        <f t="shared" si="119"/>
        <v>(7) Health Benefits (retirees)</v>
      </c>
      <c r="L758" s="668">
        <v>94</v>
      </c>
      <c r="M758" s="669">
        <v>89</v>
      </c>
      <c r="N758" s="668"/>
      <c r="O758" s="668">
        <v>10</v>
      </c>
      <c r="P758" s="668" t="str">
        <f>IFERROR(VLOOKUP(F758, [2]MOE!B:C, 2, FALSE), "No")</f>
        <v>No</v>
      </c>
      <c r="Q758" s="711" t="s">
        <v>1004</v>
      </c>
      <c r="S758" s="670" t="s">
        <v>1586</v>
      </c>
      <c r="T758" s="668" t="s">
        <v>1085</v>
      </c>
    </row>
    <row r="759" spans="1:20">
      <c r="A759" s="679">
        <v>2811490</v>
      </c>
      <c r="B759" s="677"/>
      <c r="C759" s="672"/>
      <c r="D759" s="672"/>
      <c r="E759" s="676" t="s">
        <v>1179</v>
      </c>
      <c r="F759" s="680" t="s">
        <v>1635</v>
      </c>
      <c r="G759" s="710">
        <v>281</v>
      </c>
      <c r="H759" s="682">
        <v>1490</v>
      </c>
      <c r="J759" s="668" t="str">
        <f t="shared" si="119"/>
        <v>(8) Sick Leave Severance Pay</v>
      </c>
      <c r="L759" s="668">
        <v>95</v>
      </c>
      <c r="M759" s="669">
        <v>90</v>
      </c>
      <c r="N759" s="668"/>
      <c r="O759" s="668">
        <v>10</v>
      </c>
      <c r="P759" s="668" t="str">
        <f>IFERROR(VLOOKUP(F759, [2]MOE!B:C, 2, FALSE), "No")</f>
        <v>No</v>
      </c>
      <c r="Q759" s="711" t="s">
        <v>1004</v>
      </c>
      <c r="S759" s="670" t="s">
        <v>1586</v>
      </c>
      <c r="T759" s="668" t="s">
        <v>1087</v>
      </c>
    </row>
    <row r="760" spans="1:20">
      <c r="A760" s="679">
        <v>2821490</v>
      </c>
      <c r="B760" s="677"/>
      <c r="C760" s="672"/>
      <c r="D760" s="672"/>
      <c r="E760" s="676" t="s">
        <v>1181</v>
      </c>
      <c r="F760" s="680" t="s">
        <v>1636</v>
      </c>
      <c r="G760" s="710">
        <v>282</v>
      </c>
      <c r="H760" s="682">
        <v>1490</v>
      </c>
      <c r="J760" s="668" t="str">
        <f t="shared" si="119"/>
        <v>(9) Annual Leave Severance Pay</v>
      </c>
      <c r="L760" s="668">
        <v>95</v>
      </c>
      <c r="M760" s="669">
        <v>90</v>
      </c>
      <c r="N760" s="668"/>
      <c r="O760" s="668">
        <v>10</v>
      </c>
      <c r="P760" s="668" t="str">
        <f>IFERROR(VLOOKUP(F760, [2]MOE!B:C, 2, FALSE), "No")</f>
        <v>No</v>
      </c>
      <c r="Q760" s="711" t="s">
        <v>1004</v>
      </c>
      <c r="S760" s="670" t="s">
        <v>1586</v>
      </c>
      <c r="T760" s="668" t="s">
        <v>1089</v>
      </c>
    </row>
    <row r="761" spans="1:20" ht="16" thickBot="1">
      <c r="A761" s="679">
        <v>2901490</v>
      </c>
      <c r="B761" s="716"/>
      <c r="C761" s="672"/>
      <c r="D761" s="672"/>
      <c r="E761" s="676" t="s">
        <v>1183</v>
      </c>
      <c r="F761" s="680" t="s">
        <v>1637</v>
      </c>
      <c r="G761" s="710">
        <v>290</v>
      </c>
      <c r="H761" s="682">
        <v>1490</v>
      </c>
      <c r="J761" s="668" t="str">
        <f t="shared" si="119"/>
        <v>(10) Other Employee Benefits</v>
      </c>
      <c r="L761" s="668">
        <v>95</v>
      </c>
      <c r="M761" s="669">
        <v>90</v>
      </c>
      <c r="N761" s="668"/>
      <c r="O761" s="668">
        <v>10</v>
      </c>
      <c r="P761" s="668" t="str">
        <f>IFERROR(VLOOKUP(F761, [2]MOE!B:C, 2, FALSE), "No")</f>
        <v>No</v>
      </c>
      <c r="Q761" s="711" t="s">
        <v>1004</v>
      </c>
      <c r="S761" s="670" t="s">
        <v>1586</v>
      </c>
      <c r="T761" s="668" t="s">
        <v>1092</v>
      </c>
    </row>
    <row r="762" spans="1:20" ht="16.5" thickTop="1" thickBot="1">
      <c r="A762" s="671"/>
      <c r="B762" s="663"/>
      <c r="C762" s="929" t="s">
        <v>1638</v>
      </c>
      <c r="D762" s="930"/>
      <c r="E762" s="932"/>
      <c r="F762" s="705" t="s">
        <v>624</v>
      </c>
      <c r="G762" s="706"/>
      <c r="H762" s="707"/>
      <c r="Q762" s="711"/>
      <c r="S762" s="670"/>
    </row>
    <row r="763" spans="1:20" ht="16" thickTop="1">
      <c r="A763" s="671"/>
      <c r="B763" s="672"/>
      <c r="C763" s="672"/>
      <c r="D763" s="672"/>
      <c r="E763" s="676"/>
      <c r="F763" s="675"/>
      <c r="G763" s="672"/>
      <c r="H763" s="676"/>
      <c r="Q763" s="711"/>
      <c r="S763" s="670"/>
    </row>
    <row r="764" spans="1:20">
      <c r="A764" s="671"/>
      <c r="B764" s="677" t="s">
        <v>1639</v>
      </c>
      <c r="C764" s="921" t="s">
        <v>687</v>
      </c>
      <c r="D764" s="795"/>
      <c r="E764" s="926"/>
      <c r="F764" s="675"/>
      <c r="G764" s="672"/>
      <c r="H764" s="676"/>
      <c r="Q764" s="711"/>
      <c r="S764" s="670"/>
    </row>
    <row r="765" spans="1:20">
      <c r="A765" s="671"/>
      <c r="B765" s="677"/>
      <c r="C765" s="678">
        <v>27</v>
      </c>
      <c r="D765" s="927" t="s">
        <v>1640</v>
      </c>
      <c r="E765" s="926"/>
      <c r="F765" s="675"/>
      <c r="G765" s="672"/>
      <c r="H765" s="676"/>
      <c r="Q765" s="711"/>
      <c r="S765" s="670"/>
    </row>
    <row r="766" spans="1:20">
      <c r="A766" s="671"/>
      <c r="B766" s="677"/>
      <c r="C766" s="672"/>
      <c r="D766" s="672" t="s">
        <v>759</v>
      </c>
      <c r="E766" s="676" t="s">
        <v>244</v>
      </c>
      <c r="F766" s="675"/>
      <c r="G766" s="672"/>
      <c r="H766" s="676"/>
      <c r="Q766" s="711"/>
      <c r="S766" s="670"/>
    </row>
    <row r="767" spans="1:20">
      <c r="A767" s="679">
        <v>1121510</v>
      </c>
      <c r="B767" s="677"/>
      <c r="C767" s="672"/>
      <c r="D767" s="672"/>
      <c r="E767" s="676" t="s">
        <v>1098</v>
      </c>
      <c r="F767" s="680" t="s">
        <v>1641</v>
      </c>
      <c r="G767" s="710">
        <v>112</v>
      </c>
      <c r="H767" s="682">
        <v>1510</v>
      </c>
      <c r="J767" s="668" t="str">
        <f t="shared" ref="J767:J773" si="120">E767</f>
        <v>(1) Teachers</v>
      </c>
      <c r="L767" s="668">
        <v>82</v>
      </c>
      <c r="M767" s="669">
        <v>77</v>
      </c>
      <c r="N767" s="668"/>
      <c r="O767" s="668">
        <v>11</v>
      </c>
      <c r="P767" s="668" t="str">
        <f>IFERROR(VLOOKUP(F767, [2]MOE!B:C, 2, FALSE), "No")</f>
        <v>No</v>
      </c>
      <c r="Q767" s="711" t="s">
        <v>1004</v>
      </c>
      <c r="S767" s="670" t="s">
        <v>1642</v>
      </c>
      <c r="T767" s="668" t="s">
        <v>5</v>
      </c>
    </row>
    <row r="768" spans="1:20">
      <c r="A768" s="679">
        <v>1151510</v>
      </c>
      <c r="B768" s="677"/>
      <c r="C768" s="672"/>
      <c r="D768" s="672"/>
      <c r="E768" s="676" t="s">
        <v>1100</v>
      </c>
      <c r="F768" s="680" t="s">
        <v>1643</v>
      </c>
      <c r="G768" s="710">
        <v>115</v>
      </c>
      <c r="H768" s="682">
        <v>1510</v>
      </c>
      <c r="J768" s="668" t="str">
        <f t="shared" si="120"/>
        <v>(2) Para-professionals (Aides)</v>
      </c>
      <c r="L768" s="668">
        <v>86</v>
      </c>
      <c r="M768" s="669">
        <v>81</v>
      </c>
      <c r="N768" s="668"/>
      <c r="O768" s="668">
        <v>11</v>
      </c>
      <c r="P768" s="668" t="str">
        <f>IFERROR(VLOOKUP(F768, [2]MOE!B:C, 2, FALSE), "No")</f>
        <v>No</v>
      </c>
      <c r="Q768" s="711" t="s">
        <v>1004</v>
      </c>
      <c r="S768" s="670" t="s">
        <v>1642</v>
      </c>
      <c r="T768" s="668" t="s">
        <v>1102</v>
      </c>
    </row>
    <row r="769" spans="1:20">
      <c r="A769" s="679">
        <v>1231510</v>
      </c>
      <c r="B769" s="677"/>
      <c r="C769" s="672"/>
      <c r="D769" s="672"/>
      <c r="E769" s="676" t="s">
        <v>1103</v>
      </c>
      <c r="F769" s="680" t="s">
        <v>1644</v>
      </c>
      <c r="G769" s="710">
        <v>123</v>
      </c>
      <c r="H769" s="682">
        <v>1510</v>
      </c>
      <c r="J769" s="668" t="str">
        <f t="shared" si="120"/>
        <v>(3) Substitute Teachers</v>
      </c>
      <c r="L769" s="668">
        <v>86</v>
      </c>
      <c r="M769" s="669">
        <v>81</v>
      </c>
      <c r="N769" s="668"/>
      <c r="O769" s="668">
        <v>11</v>
      </c>
      <c r="P769" s="668" t="str">
        <f>IFERROR(VLOOKUP(F769, [2]MOE!B:C, 2, FALSE), "No")</f>
        <v>No</v>
      </c>
      <c r="Q769" s="711" t="s">
        <v>1004</v>
      </c>
      <c r="S769" s="670" t="s">
        <v>1642</v>
      </c>
      <c r="T769" s="668" t="s">
        <v>1105</v>
      </c>
    </row>
    <row r="770" spans="1:20">
      <c r="A770" s="679">
        <v>1201510</v>
      </c>
      <c r="B770" s="677"/>
      <c r="C770" s="672"/>
      <c r="D770" s="672"/>
      <c r="E770" s="676" t="s">
        <v>1106</v>
      </c>
      <c r="F770" s="680" t="s">
        <v>1645</v>
      </c>
      <c r="G770" s="710">
        <v>120</v>
      </c>
      <c r="H770" s="682">
        <v>1510</v>
      </c>
      <c r="J770" s="668" t="str">
        <f t="shared" si="120"/>
        <v>(4) Other Substitute/Temp. Employees</v>
      </c>
      <c r="L770" s="668">
        <v>86</v>
      </c>
      <c r="M770" s="669">
        <v>81</v>
      </c>
      <c r="N770" s="668"/>
      <c r="O770" s="668">
        <v>11</v>
      </c>
      <c r="P770" s="668" t="str">
        <f>IFERROR(VLOOKUP(F770, [2]MOE!B:C, 2, FALSE), "No")</f>
        <v>No</v>
      </c>
      <c r="Q770" s="711" t="s">
        <v>1004</v>
      </c>
      <c r="S770" s="670" t="s">
        <v>1642</v>
      </c>
      <c r="T770" s="668" t="s">
        <v>1108</v>
      </c>
    </row>
    <row r="771" spans="1:20">
      <c r="A771" s="679">
        <v>1001510</v>
      </c>
      <c r="B771" s="677"/>
      <c r="C771" s="672"/>
      <c r="D771" s="672"/>
      <c r="E771" s="676" t="s">
        <v>1109</v>
      </c>
      <c r="F771" s="680" t="s">
        <v>1646</v>
      </c>
      <c r="G771" s="710">
        <v>100</v>
      </c>
      <c r="H771" s="682">
        <v>1510</v>
      </c>
      <c r="J771" s="668" t="str">
        <f t="shared" si="120"/>
        <v>(5) Other Instructional Salaries</v>
      </c>
      <c r="L771" s="668">
        <v>86</v>
      </c>
      <c r="M771" s="669">
        <v>81</v>
      </c>
      <c r="N771" s="668"/>
      <c r="O771" s="668">
        <v>11</v>
      </c>
      <c r="P771" s="668" t="str">
        <f>IFERROR(VLOOKUP(F771, [2]MOE!B:C, 2, FALSE), "No")</f>
        <v>No</v>
      </c>
      <c r="Q771" s="711" t="s">
        <v>1004</v>
      </c>
      <c r="S771" s="670" t="s">
        <v>1642</v>
      </c>
      <c r="T771" s="668" t="s">
        <v>1017</v>
      </c>
    </row>
    <row r="772" spans="1:20">
      <c r="A772" s="679">
        <v>1401510</v>
      </c>
      <c r="B772" s="677"/>
      <c r="C772" s="672"/>
      <c r="D772" s="672"/>
      <c r="E772" s="676" t="s">
        <v>1111</v>
      </c>
      <c r="F772" s="680" t="s">
        <v>1647</v>
      </c>
      <c r="G772" s="710">
        <v>140</v>
      </c>
      <c r="H772" s="682">
        <v>1510</v>
      </c>
      <c r="J772" s="668" t="str">
        <f t="shared" si="120"/>
        <v>(6) Sabbatical Leave</v>
      </c>
      <c r="L772" s="668">
        <v>86</v>
      </c>
      <c r="M772" s="669">
        <v>81</v>
      </c>
      <c r="N772" s="668"/>
      <c r="O772" s="668">
        <v>11</v>
      </c>
      <c r="P772" s="668" t="str">
        <f>IFERROR(VLOOKUP(F772, [2]MOE!B:C, 2, FALSE), "No")</f>
        <v>No</v>
      </c>
      <c r="Q772" s="711" t="s">
        <v>1004</v>
      </c>
      <c r="S772" s="670" t="s">
        <v>1642</v>
      </c>
      <c r="T772" s="668" t="s">
        <v>1019</v>
      </c>
    </row>
    <row r="773" spans="1:20">
      <c r="A773" s="679">
        <v>3001510</v>
      </c>
      <c r="B773" s="677"/>
      <c r="C773" s="672"/>
      <c r="D773" s="672" t="s">
        <v>777</v>
      </c>
      <c r="E773" s="676" t="s">
        <v>1113</v>
      </c>
      <c r="F773" s="680" t="s">
        <v>1648</v>
      </c>
      <c r="G773" s="710">
        <v>300</v>
      </c>
      <c r="H773" s="682">
        <v>1510</v>
      </c>
      <c r="J773" s="668" t="str">
        <f t="shared" si="120"/>
        <v>Purchased Professional and Technical Svcs</v>
      </c>
      <c r="L773" s="668">
        <v>101</v>
      </c>
      <c r="M773" s="669">
        <v>96</v>
      </c>
      <c r="N773" s="668"/>
      <c r="O773" s="668">
        <v>11</v>
      </c>
      <c r="P773" s="668" t="str">
        <f>IFERROR(VLOOKUP(F773, [2]MOE!B:C, 2, FALSE), "No")</f>
        <v>No</v>
      </c>
      <c r="Q773" s="711"/>
      <c r="S773" s="670" t="s">
        <v>1642</v>
      </c>
      <c r="T773" s="668" t="s">
        <v>1113</v>
      </c>
    </row>
    <row r="774" spans="1:20">
      <c r="A774" s="671"/>
      <c r="B774" s="677"/>
      <c r="C774" s="672"/>
      <c r="D774" s="672" t="s">
        <v>801</v>
      </c>
      <c r="E774" s="676" t="s">
        <v>250</v>
      </c>
      <c r="F774" s="675"/>
      <c r="G774" s="672"/>
      <c r="H774" s="676"/>
      <c r="Q774" s="711"/>
      <c r="S774" s="670"/>
    </row>
    <row r="775" spans="1:20">
      <c r="A775" s="679">
        <v>4301510</v>
      </c>
      <c r="B775" s="677"/>
      <c r="C775" s="672"/>
      <c r="D775" s="672"/>
      <c r="E775" s="676" t="s">
        <v>1115</v>
      </c>
      <c r="F775" s="680" t="s">
        <v>1649</v>
      </c>
      <c r="G775" s="710">
        <v>430</v>
      </c>
      <c r="H775" s="682">
        <v>1510</v>
      </c>
      <c r="J775" s="668" t="str">
        <f t="shared" ref="J775:J777" si="121">E775</f>
        <v>(1) Repairs and Maintenance Services</v>
      </c>
      <c r="L775" s="668">
        <v>107</v>
      </c>
      <c r="M775" s="669">
        <v>102</v>
      </c>
      <c r="N775" s="668"/>
      <c r="O775" s="668">
        <v>11</v>
      </c>
      <c r="P775" s="668" t="str">
        <f>IFERROR(VLOOKUP(F775, [2]MOE!B:C, 2, FALSE), "No")</f>
        <v>No</v>
      </c>
      <c r="Q775" s="711"/>
      <c r="S775" s="670" t="s">
        <v>1642</v>
      </c>
      <c r="T775" s="668" t="s">
        <v>1023</v>
      </c>
    </row>
    <row r="776" spans="1:20">
      <c r="A776" s="679">
        <v>4421510</v>
      </c>
      <c r="B776" s="677"/>
      <c r="C776" s="672"/>
      <c r="D776" s="672"/>
      <c r="E776" s="676" t="s">
        <v>1117</v>
      </c>
      <c r="F776" s="680" t="s">
        <v>1650</v>
      </c>
      <c r="G776" s="710">
        <v>442</v>
      </c>
      <c r="H776" s="682">
        <v>1510</v>
      </c>
      <c r="J776" s="668" t="str">
        <f t="shared" si="121"/>
        <v>(2) Rental of Equipment</v>
      </c>
      <c r="L776" s="668">
        <v>106</v>
      </c>
      <c r="M776" s="669">
        <v>101</v>
      </c>
      <c r="N776" s="668"/>
      <c r="O776" s="668">
        <v>11</v>
      </c>
      <c r="P776" s="668" t="str">
        <f>IFERROR(VLOOKUP(F776, [2]MOE!B:C, 2, FALSE), "No")</f>
        <v>No</v>
      </c>
      <c r="Q776" s="711"/>
      <c r="S776" s="670" t="s">
        <v>1642</v>
      </c>
      <c r="T776" s="668" t="s">
        <v>1025</v>
      </c>
    </row>
    <row r="777" spans="1:20">
      <c r="A777" s="679">
        <v>4001510</v>
      </c>
      <c r="B777" s="677"/>
      <c r="C777" s="672"/>
      <c r="D777" s="672"/>
      <c r="E777" s="676" t="s">
        <v>1119</v>
      </c>
      <c r="F777" s="680" t="s">
        <v>1651</v>
      </c>
      <c r="G777" s="710">
        <v>400</v>
      </c>
      <c r="H777" s="682">
        <v>1510</v>
      </c>
      <c r="J777" s="668" t="str">
        <f t="shared" si="121"/>
        <v>(3) Other Purchased Property Services</v>
      </c>
      <c r="L777" s="668">
        <v>108</v>
      </c>
      <c r="M777" s="669">
        <v>103</v>
      </c>
      <c r="N777" s="668"/>
      <c r="O777" s="668">
        <v>11</v>
      </c>
      <c r="P777" s="668" t="str">
        <f>IFERROR(VLOOKUP(F777, [2]MOE!B:C, 2, FALSE), "No")</f>
        <v>No</v>
      </c>
      <c r="Q777" s="711"/>
      <c r="S777" s="670" t="s">
        <v>1642</v>
      </c>
      <c r="T777" s="668" t="s">
        <v>1027</v>
      </c>
    </row>
    <row r="778" spans="1:20">
      <c r="A778" s="671"/>
      <c r="B778" s="677"/>
      <c r="C778" s="672"/>
      <c r="D778" s="672" t="s">
        <v>805</v>
      </c>
      <c r="E778" s="676" t="s">
        <v>252</v>
      </c>
      <c r="F778" s="675"/>
      <c r="G778" s="672"/>
      <c r="H778" s="676"/>
      <c r="Q778" s="711"/>
      <c r="S778" s="670"/>
    </row>
    <row r="779" spans="1:20">
      <c r="A779" s="671"/>
      <c r="B779" s="677"/>
      <c r="C779" s="672"/>
      <c r="D779" s="672"/>
      <c r="E779" s="676" t="s">
        <v>1121</v>
      </c>
      <c r="F779" s="675"/>
      <c r="G779" s="672"/>
      <c r="H779" s="676"/>
      <c r="Q779" s="711"/>
      <c r="S779" s="670"/>
    </row>
    <row r="780" spans="1:20">
      <c r="A780" s="679">
        <v>5611510</v>
      </c>
      <c r="B780" s="677"/>
      <c r="C780" s="672"/>
      <c r="D780" s="672"/>
      <c r="E780" s="676" t="s">
        <v>1122</v>
      </c>
      <c r="F780" s="680" t="s">
        <v>1652</v>
      </c>
      <c r="G780" s="710">
        <v>561</v>
      </c>
      <c r="H780" s="682">
        <v>1510</v>
      </c>
      <c r="J780" s="668" t="str">
        <f t="shared" ref="J780:J784" si="122">E780</f>
        <v>(a) Paid to Other LEA (In-State)</v>
      </c>
      <c r="L780" s="668">
        <v>119</v>
      </c>
      <c r="M780" s="669">
        <v>110</v>
      </c>
      <c r="N780" s="668"/>
      <c r="O780" s="668">
        <v>11</v>
      </c>
      <c r="P780" s="668" t="str">
        <f>IFERROR(VLOOKUP(F780, [2]MOE!B:C, 2, FALSE), "No")</f>
        <v>No</v>
      </c>
      <c r="Q780" s="711"/>
      <c r="S780" s="670" t="s">
        <v>1642</v>
      </c>
      <c r="T780" s="668" t="s">
        <v>1032</v>
      </c>
    </row>
    <row r="781" spans="1:20">
      <c r="A781" s="679">
        <v>5621510</v>
      </c>
      <c r="B781" s="677"/>
      <c r="C781" s="672"/>
      <c r="D781" s="672"/>
      <c r="E781" s="676" t="s">
        <v>1124</v>
      </c>
      <c r="F781" s="680" t="s">
        <v>1653</v>
      </c>
      <c r="G781" s="710">
        <v>562</v>
      </c>
      <c r="H781" s="682">
        <v>1510</v>
      </c>
      <c r="J781" s="668" t="str">
        <f t="shared" si="122"/>
        <v>(b) Paid to Other LEA (Out-of-State)</v>
      </c>
      <c r="L781" s="668">
        <v>119</v>
      </c>
      <c r="M781" s="669">
        <v>110</v>
      </c>
      <c r="N781" s="668"/>
      <c r="O781" s="668">
        <v>11</v>
      </c>
      <c r="P781" s="668" t="str">
        <f>IFERROR(VLOOKUP(F781, [2]MOE!B:C, 2, FALSE), "No")</f>
        <v>No</v>
      </c>
      <c r="Q781" s="711"/>
      <c r="S781" s="670" t="s">
        <v>1642</v>
      </c>
      <c r="T781" s="668" t="s">
        <v>1035</v>
      </c>
    </row>
    <row r="782" spans="1:20">
      <c r="A782" s="679">
        <v>5631510</v>
      </c>
      <c r="B782" s="677"/>
      <c r="C782" s="672"/>
      <c r="D782" s="672"/>
      <c r="E782" s="676" t="s">
        <v>1305</v>
      </c>
      <c r="F782" s="680" t="s">
        <v>1654</v>
      </c>
      <c r="G782" s="710">
        <v>563</v>
      </c>
      <c r="H782" s="682">
        <v>1510</v>
      </c>
      <c r="J782" s="668" t="str">
        <f t="shared" si="122"/>
        <v>(c) Paid to Private Sources</v>
      </c>
      <c r="L782" s="668">
        <v>119</v>
      </c>
      <c r="M782" s="669">
        <v>110</v>
      </c>
      <c r="N782" s="668"/>
      <c r="O782" s="668">
        <v>11</v>
      </c>
      <c r="P782" s="668" t="str">
        <f>IFERROR(VLOOKUP(F782, [2]MOE!B:C, 2, FALSE), "No")</f>
        <v>No</v>
      </c>
      <c r="Q782" s="711"/>
      <c r="S782" s="670" t="s">
        <v>1642</v>
      </c>
      <c r="T782" s="668" t="s">
        <v>1038</v>
      </c>
    </row>
    <row r="783" spans="1:20">
      <c r="A783" s="679">
        <v>5821510</v>
      </c>
      <c r="B783" s="677"/>
      <c r="C783" s="672"/>
      <c r="D783" s="672"/>
      <c r="E783" s="676" t="s">
        <v>1135</v>
      </c>
      <c r="F783" s="680" t="s">
        <v>1655</v>
      </c>
      <c r="G783" s="710">
        <v>582</v>
      </c>
      <c r="H783" s="682">
        <v>1510</v>
      </c>
      <c r="J783" s="668" t="str">
        <f t="shared" si="122"/>
        <v>(2) Travel Expense Reimbursement</v>
      </c>
      <c r="L783" s="668">
        <v>118</v>
      </c>
      <c r="M783" s="669">
        <v>109</v>
      </c>
      <c r="N783" s="668"/>
      <c r="O783" s="668">
        <v>11</v>
      </c>
      <c r="P783" s="668" t="str">
        <f>IFERROR(VLOOKUP(F783, [2]MOE!B:C, 2, FALSE), "No")</f>
        <v>No</v>
      </c>
      <c r="Q783" s="711"/>
      <c r="S783" s="670" t="s">
        <v>1642</v>
      </c>
      <c r="T783" s="668" t="s">
        <v>1039</v>
      </c>
    </row>
    <row r="784" spans="1:20">
      <c r="A784" s="679">
        <v>5001510</v>
      </c>
      <c r="B784" s="677"/>
      <c r="C784" s="672"/>
      <c r="D784" s="672"/>
      <c r="E784" s="676" t="s">
        <v>1137</v>
      </c>
      <c r="F784" s="680" t="s">
        <v>1656</v>
      </c>
      <c r="G784" s="710">
        <v>500</v>
      </c>
      <c r="H784" s="682">
        <v>1510</v>
      </c>
      <c r="J784" s="668" t="str">
        <f t="shared" si="122"/>
        <v>(3) Other Purchased Services</v>
      </c>
      <c r="L784" s="668">
        <v>119</v>
      </c>
      <c r="M784" s="669">
        <v>110</v>
      </c>
      <c r="N784" s="668"/>
      <c r="O784" s="668">
        <v>11</v>
      </c>
      <c r="P784" s="668" t="str">
        <f>IFERROR(VLOOKUP(F784, [2]MOE!B:C, 2, FALSE), "No")</f>
        <v>No</v>
      </c>
      <c r="Q784" s="711"/>
      <c r="S784" s="670" t="s">
        <v>1642</v>
      </c>
      <c r="T784" s="668" t="s">
        <v>252</v>
      </c>
    </row>
    <row r="785" spans="1:20">
      <c r="A785" s="671"/>
      <c r="B785" s="677"/>
      <c r="C785" s="672"/>
      <c r="D785" s="672" t="s">
        <v>850</v>
      </c>
      <c r="E785" s="676" t="s">
        <v>1042</v>
      </c>
      <c r="F785" s="675"/>
      <c r="G785" s="672"/>
      <c r="H785" s="676"/>
      <c r="Q785" s="711"/>
      <c r="S785" s="670"/>
    </row>
    <row r="786" spans="1:20">
      <c r="A786" s="679">
        <v>6151510</v>
      </c>
      <c r="B786" s="677"/>
      <c r="C786" s="672"/>
      <c r="D786" s="672"/>
      <c r="E786" s="676" t="s">
        <v>1139</v>
      </c>
      <c r="F786" s="680" t="s">
        <v>1657</v>
      </c>
      <c r="G786" s="710">
        <v>615</v>
      </c>
      <c r="H786" s="682">
        <v>1510</v>
      </c>
      <c r="J786" s="668" t="str">
        <f t="shared" ref="J786:J789" si="123">E786</f>
        <v>(1) Technology-Related Supplies</v>
      </c>
      <c r="L786" s="668">
        <v>126</v>
      </c>
      <c r="M786" s="669">
        <v>117</v>
      </c>
      <c r="N786" s="668"/>
      <c r="O786" s="668">
        <v>11</v>
      </c>
      <c r="P786" s="668" t="str">
        <f>IFERROR(VLOOKUP(F786, [2]MOE!B:C, 2, FALSE), "No")</f>
        <v>No</v>
      </c>
      <c r="Q786" s="711" t="s">
        <v>1045</v>
      </c>
      <c r="S786" s="670" t="s">
        <v>1642</v>
      </c>
      <c r="T786" s="668" t="s">
        <v>1043</v>
      </c>
    </row>
    <row r="787" spans="1:20">
      <c r="A787" s="679">
        <v>6101510</v>
      </c>
      <c r="B787" s="677"/>
      <c r="C787" s="672"/>
      <c r="D787" s="672"/>
      <c r="E787" s="676" t="s">
        <v>1141</v>
      </c>
      <c r="F787" s="680" t="s">
        <v>1658</v>
      </c>
      <c r="G787" s="710">
        <v>610</v>
      </c>
      <c r="H787" s="682">
        <v>1510</v>
      </c>
      <c r="J787" s="668" t="str">
        <f t="shared" si="123"/>
        <v>(2) Materials and Supplies</v>
      </c>
      <c r="L787" s="668">
        <v>122</v>
      </c>
      <c r="M787" s="669">
        <v>113</v>
      </c>
      <c r="N787" s="668"/>
      <c r="O787" s="668">
        <v>11</v>
      </c>
      <c r="P787" s="668" t="str">
        <f>IFERROR(VLOOKUP(F787, [2]MOE!B:C, 2, FALSE), "No")</f>
        <v>No</v>
      </c>
      <c r="Q787" s="711" t="s">
        <v>1045</v>
      </c>
      <c r="S787" s="670" t="s">
        <v>1642</v>
      </c>
      <c r="T787" s="668" t="s">
        <v>39</v>
      </c>
    </row>
    <row r="788" spans="1:20">
      <c r="A788" s="679">
        <v>6421510</v>
      </c>
      <c r="B788" s="677"/>
      <c r="C788" s="672"/>
      <c r="D788" s="672"/>
      <c r="E788" s="676" t="s">
        <v>1143</v>
      </c>
      <c r="F788" s="680" t="s">
        <v>1659</v>
      </c>
      <c r="G788" s="710">
        <v>642</v>
      </c>
      <c r="H788" s="682">
        <v>1510</v>
      </c>
      <c r="J788" s="668" t="str">
        <f t="shared" si="123"/>
        <v>(3) Textbooks/Workbooks</v>
      </c>
      <c r="L788" s="668">
        <v>125</v>
      </c>
      <c r="M788" s="669">
        <v>116</v>
      </c>
      <c r="N788" s="668"/>
      <c r="O788" s="668">
        <v>11</v>
      </c>
      <c r="P788" s="668" t="str">
        <f>IFERROR(VLOOKUP(F788, [2]MOE!B:C, 2, FALSE), "No")</f>
        <v>No</v>
      </c>
      <c r="Q788" s="711" t="s">
        <v>1045</v>
      </c>
      <c r="S788" s="670" t="s">
        <v>1642</v>
      </c>
      <c r="T788" s="668" t="s">
        <v>1048</v>
      </c>
    </row>
    <row r="789" spans="1:20">
      <c r="A789" s="679">
        <v>6001510</v>
      </c>
      <c r="B789" s="677"/>
      <c r="C789" s="672"/>
      <c r="D789" s="672"/>
      <c r="E789" s="676" t="s">
        <v>1145</v>
      </c>
      <c r="F789" s="680" t="s">
        <v>1660</v>
      </c>
      <c r="G789" s="710">
        <v>600</v>
      </c>
      <c r="H789" s="682">
        <v>1510</v>
      </c>
      <c r="J789" s="668" t="str">
        <f t="shared" si="123"/>
        <v>(4) Other Supplies</v>
      </c>
      <c r="L789" s="668">
        <v>126</v>
      </c>
      <c r="M789" s="669">
        <v>117</v>
      </c>
      <c r="N789" s="668"/>
      <c r="O789" s="668">
        <v>11</v>
      </c>
      <c r="P789" s="668" t="str">
        <f>IFERROR(VLOOKUP(F789, [2]MOE!B:C, 2, FALSE), "No")</f>
        <v>No</v>
      </c>
      <c r="Q789" s="711"/>
      <c r="S789" s="670" t="s">
        <v>1642</v>
      </c>
      <c r="T789" s="668" t="s">
        <v>1050</v>
      </c>
    </row>
    <row r="790" spans="1:20">
      <c r="A790" s="671"/>
      <c r="B790" s="677"/>
      <c r="C790" s="672"/>
      <c r="D790" s="672" t="s">
        <v>853</v>
      </c>
      <c r="E790" s="676" t="s">
        <v>1052</v>
      </c>
      <c r="F790" s="675"/>
      <c r="G790" s="672"/>
      <c r="H790" s="676"/>
      <c r="Q790" s="711"/>
      <c r="S790" s="670"/>
    </row>
    <row r="791" spans="1:20">
      <c r="A791" s="679">
        <v>7341510</v>
      </c>
      <c r="B791" s="677"/>
      <c r="C791" s="672"/>
      <c r="D791" s="672"/>
      <c r="E791" s="676" t="s">
        <v>1147</v>
      </c>
      <c r="F791" s="680" t="s">
        <v>1661</v>
      </c>
      <c r="G791" s="710">
        <v>734</v>
      </c>
      <c r="H791" s="682">
        <v>1510</v>
      </c>
      <c r="J791" s="668" t="str">
        <f t="shared" ref="J791:J794" si="124">E791</f>
        <v>(1) Technology-Related Hardware</v>
      </c>
      <c r="L791" s="668">
        <v>131</v>
      </c>
      <c r="M791" s="669">
        <v>122</v>
      </c>
      <c r="N791" s="668"/>
      <c r="O791" s="668">
        <v>11</v>
      </c>
      <c r="P791" s="668" t="str">
        <f>IFERROR(VLOOKUP(F791, [2]MOE!B:C, 2, FALSE), "No")</f>
        <v>No</v>
      </c>
      <c r="Q791" s="711"/>
      <c r="S791" s="670" t="s">
        <v>1642</v>
      </c>
      <c r="T791" s="668" t="s">
        <v>1053</v>
      </c>
    </row>
    <row r="792" spans="1:20">
      <c r="A792" s="679">
        <v>7351510</v>
      </c>
      <c r="B792" s="677"/>
      <c r="C792" s="672"/>
      <c r="D792" s="672"/>
      <c r="E792" s="676" t="s">
        <v>1149</v>
      </c>
      <c r="F792" s="680" t="s">
        <v>1662</v>
      </c>
      <c r="G792" s="710">
        <v>735</v>
      </c>
      <c r="H792" s="682">
        <v>1510</v>
      </c>
      <c r="J792" s="668" t="str">
        <f t="shared" si="124"/>
        <v>(2) Technology Software</v>
      </c>
      <c r="L792" s="668">
        <v>131</v>
      </c>
      <c r="M792" s="669">
        <v>122</v>
      </c>
      <c r="N792" s="668"/>
      <c r="O792" s="668">
        <v>11</v>
      </c>
      <c r="P792" s="668" t="str">
        <f>IFERROR(VLOOKUP(F792, [2]MOE!B:C, 2, FALSE), "No")</f>
        <v>No</v>
      </c>
      <c r="Q792" s="711"/>
      <c r="S792" s="670" t="s">
        <v>1642</v>
      </c>
      <c r="T792" s="668" t="s">
        <v>1055</v>
      </c>
    </row>
    <row r="793" spans="1:20">
      <c r="A793" s="679">
        <v>7301510</v>
      </c>
      <c r="B793" s="677"/>
      <c r="C793" s="672"/>
      <c r="D793" s="672"/>
      <c r="E793" s="676" t="s">
        <v>1151</v>
      </c>
      <c r="F793" s="680" t="s">
        <v>1663</v>
      </c>
      <c r="G793" s="710">
        <v>730</v>
      </c>
      <c r="H793" s="682">
        <v>1510</v>
      </c>
      <c r="J793" s="668" t="str">
        <f t="shared" si="124"/>
        <v>(3) All Other Equipment</v>
      </c>
      <c r="L793" s="668">
        <v>131</v>
      </c>
      <c r="M793" s="669">
        <v>122</v>
      </c>
      <c r="N793" s="668"/>
      <c r="O793" s="668">
        <v>11</v>
      </c>
      <c r="P793" s="668" t="str">
        <f>IFERROR(VLOOKUP(F793, [2]MOE!B:C, 2, FALSE), "No")</f>
        <v>No</v>
      </c>
      <c r="Q793" s="711"/>
      <c r="S793" s="670" t="s">
        <v>1642</v>
      </c>
      <c r="T793" s="668" t="s">
        <v>1057</v>
      </c>
    </row>
    <row r="794" spans="1:20">
      <c r="A794" s="679">
        <v>7001510</v>
      </c>
      <c r="B794" s="677"/>
      <c r="C794" s="672"/>
      <c r="D794" s="672"/>
      <c r="E794" s="676" t="s">
        <v>1153</v>
      </c>
      <c r="F794" s="680" t="s">
        <v>1664</v>
      </c>
      <c r="G794" s="710">
        <v>700</v>
      </c>
      <c r="H794" s="682">
        <v>1510</v>
      </c>
      <c r="J794" s="668" t="str">
        <f t="shared" si="124"/>
        <v>(4) Other Property</v>
      </c>
      <c r="L794" s="668">
        <v>132</v>
      </c>
      <c r="M794" s="669">
        <v>123</v>
      </c>
      <c r="N794" s="668"/>
      <c r="O794" s="668">
        <v>11</v>
      </c>
      <c r="P794" s="668" t="str">
        <f>IFERROR(VLOOKUP(F794, [2]MOE!B:C, 2, FALSE), "No")</f>
        <v>No</v>
      </c>
      <c r="Q794" s="711"/>
      <c r="S794" s="670" t="s">
        <v>1642</v>
      </c>
      <c r="T794" s="668" t="s">
        <v>1059</v>
      </c>
    </row>
    <row r="795" spans="1:20">
      <c r="A795" s="671"/>
      <c r="B795" s="677"/>
      <c r="C795" s="672"/>
      <c r="D795" s="672" t="s">
        <v>856</v>
      </c>
      <c r="E795" s="676" t="s">
        <v>256</v>
      </c>
      <c r="F795" s="675"/>
      <c r="G795" s="672"/>
      <c r="H795" s="676"/>
      <c r="Q795" s="711"/>
      <c r="S795" s="670"/>
    </row>
    <row r="796" spans="1:20">
      <c r="A796" s="679">
        <v>8951510</v>
      </c>
      <c r="B796" s="677"/>
      <c r="C796" s="672"/>
      <c r="D796" s="672"/>
      <c r="E796" s="676" t="s">
        <v>1155</v>
      </c>
      <c r="F796" s="683" t="s">
        <v>1665</v>
      </c>
      <c r="G796" s="678">
        <v>895</v>
      </c>
      <c r="H796" s="684">
        <v>1510</v>
      </c>
      <c r="J796" s="668" t="str">
        <f t="shared" ref="J796:J797" si="125">E796</f>
        <v>(1) Miscellaneous Non-Public Expenditures</v>
      </c>
      <c r="L796" s="668">
        <v>139</v>
      </c>
      <c r="M796" s="669">
        <v>129</v>
      </c>
      <c r="N796" s="668"/>
      <c r="O796" s="668">
        <v>11</v>
      </c>
      <c r="P796" s="668" t="str">
        <f>IFERROR(VLOOKUP(F796, [2]MOE!B:C, 2, FALSE), "No")</f>
        <v>No</v>
      </c>
      <c r="Q796" s="711"/>
      <c r="S796" s="670" t="s">
        <v>1642</v>
      </c>
      <c r="T796" s="668" t="s">
        <v>1061</v>
      </c>
    </row>
    <row r="797" spans="1:20">
      <c r="A797" s="679">
        <v>8001510</v>
      </c>
      <c r="B797" s="677"/>
      <c r="C797" s="672"/>
      <c r="D797" s="672"/>
      <c r="E797" s="676" t="s">
        <v>1157</v>
      </c>
      <c r="F797" s="683" t="s">
        <v>1666</v>
      </c>
      <c r="G797" s="678">
        <v>800</v>
      </c>
      <c r="H797" s="684">
        <v>1510</v>
      </c>
      <c r="J797" s="668" t="str">
        <f t="shared" si="125"/>
        <v>(2) Other Miscellaneous Expenditures</v>
      </c>
      <c r="L797" s="668">
        <v>139</v>
      </c>
      <c r="M797" s="669">
        <v>129</v>
      </c>
      <c r="N797" s="668"/>
      <c r="O797" s="668">
        <v>11</v>
      </c>
      <c r="P797" s="668" t="str">
        <f>IFERROR(VLOOKUP(F797, [2]MOE!B:C, 2, FALSE), "No")</f>
        <v>No</v>
      </c>
      <c r="Q797" s="711"/>
      <c r="S797" s="670" t="s">
        <v>1642</v>
      </c>
      <c r="T797" s="668" t="s">
        <v>1063</v>
      </c>
    </row>
    <row r="798" spans="1:20">
      <c r="A798" s="671"/>
      <c r="B798" s="677"/>
      <c r="C798" s="672"/>
      <c r="D798" s="672" t="s">
        <v>859</v>
      </c>
      <c r="E798" s="676" t="s">
        <v>1065</v>
      </c>
      <c r="F798" s="675"/>
      <c r="G798" s="672"/>
      <c r="H798" s="676"/>
      <c r="Q798" s="711"/>
      <c r="S798" s="670"/>
    </row>
    <row r="799" spans="1:20">
      <c r="A799" s="679">
        <v>2101510</v>
      </c>
      <c r="B799" s="677"/>
      <c r="C799" s="672"/>
      <c r="D799" s="672"/>
      <c r="E799" s="676" t="s">
        <v>1159</v>
      </c>
      <c r="F799" s="683" t="s">
        <v>1667</v>
      </c>
      <c r="G799" s="678">
        <v>210</v>
      </c>
      <c r="H799" s="684">
        <v>1510</v>
      </c>
      <c r="J799" s="668" t="str">
        <f t="shared" ref="J799:J801" si="126">E799</f>
        <v>(1) Group Insurance</v>
      </c>
      <c r="L799" s="668">
        <v>89</v>
      </c>
      <c r="M799" s="669">
        <v>84</v>
      </c>
      <c r="N799" s="668"/>
      <c r="O799" s="668">
        <v>11</v>
      </c>
      <c r="P799" s="668" t="str">
        <f>IFERROR(VLOOKUP(F799, [2]MOE!B:C, 2, FALSE), "No")</f>
        <v>No</v>
      </c>
      <c r="Q799" s="711" t="s">
        <v>1004</v>
      </c>
      <c r="S799" s="670" t="s">
        <v>1642</v>
      </c>
      <c r="T799" s="668" t="s">
        <v>1066</v>
      </c>
    </row>
    <row r="800" spans="1:20">
      <c r="A800" s="679">
        <v>2201510</v>
      </c>
      <c r="B800" s="677"/>
      <c r="C800" s="672"/>
      <c r="D800" s="672"/>
      <c r="E800" s="676" t="s">
        <v>1161</v>
      </c>
      <c r="F800" s="683" t="s">
        <v>1668</v>
      </c>
      <c r="G800" s="678">
        <v>220</v>
      </c>
      <c r="H800" s="684">
        <v>1510</v>
      </c>
      <c r="J800" s="668" t="str">
        <f t="shared" si="126"/>
        <v>(2) FICA</v>
      </c>
      <c r="L800" s="668">
        <v>90</v>
      </c>
      <c r="M800" s="669">
        <v>85</v>
      </c>
      <c r="N800" s="668"/>
      <c r="O800" s="668">
        <v>11</v>
      </c>
      <c r="P800" s="668" t="str">
        <f>IFERROR(VLOOKUP(F800, [2]MOE!B:C, 2, FALSE), "No")</f>
        <v>No</v>
      </c>
      <c r="Q800" s="711" t="s">
        <v>1004</v>
      </c>
      <c r="S800" s="670" t="s">
        <v>1642</v>
      </c>
      <c r="T800" s="668" t="s">
        <v>1068</v>
      </c>
    </row>
    <row r="801" spans="1:20">
      <c r="A801" s="679">
        <v>2251510</v>
      </c>
      <c r="B801" s="719"/>
      <c r="C801" s="681"/>
      <c r="D801" s="681"/>
      <c r="E801" s="686" t="s">
        <v>1163</v>
      </c>
      <c r="F801" s="680" t="s">
        <v>1669</v>
      </c>
      <c r="G801" s="710">
        <v>225</v>
      </c>
      <c r="H801" s="682">
        <v>1510</v>
      </c>
      <c r="J801" s="668" t="str">
        <f t="shared" si="126"/>
        <v>(3) Medicare</v>
      </c>
      <c r="L801" s="668">
        <v>91</v>
      </c>
      <c r="M801" s="669">
        <v>86</v>
      </c>
      <c r="N801" s="668"/>
      <c r="O801" s="668">
        <v>11</v>
      </c>
      <c r="P801" s="668" t="str">
        <f>IFERROR(VLOOKUP(F801, [2]MOE!B:C, 2, FALSE), "No")</f>
        <v>No</v>
      </c>
      <c r="Q801" s="711" t="s">
        <v>1004</v>
      </c>
      <c r="S801" s="670" t="s">
        <v>1642</v>
      </c>
      <c r="T801" s="668" t="s">
        <v>23</v>
      </c>
    </row>
    <row r="802" spans="1:20">
      <c r="A802" s="671"/>
      <c r="B802" s="677"/>
      <c r="C802" s="672"/>
      <c r="D802" s="672"/>
      <c r="E802" s="676" t="s">
        <v>1165</v>
      </c>
      <c r="F802" s="675"/>
      <c r="G802" s="672"/>
      <c r="H802" s="676"/>
      <c r="Q802" s="711"/>
      <c r="S802" s="670"/>
    </row>
    <row r="803" spans="1:20">
      <c r="A803" s="679">
        <v>2311510</v>
      </c>
      <c r="B803" s="677"/>
      <c r="C803" s="672"/>
      <c r="D803" s="672"/>
      <c r="E803" s="676" t="s">
        <v>1166</v>
      </c>
      <c r="F803" s="683" t="s">
        <v>1670</v>
      </c>
      <c r="G803" s="678">
        <v>231</v>
      </c>
      <c r="H803" s="684">
        <v>1510</v>
      </c>
      <c r="J803" s="668" t="str">
        <f t="shared" ref="J803:J811" si="127">E803</f>
        <v>(a) Louisiana Teachers Retirement</v>
      </c>
      <c r="L803" s="668">
        <v>92</v>
      </c>
      <c r="M803" s="669">
        <v>87</v>
      </c>
      <c r="N803" s="668"/>
      <c r="O803" s="668">
        <v>11</v>
      </c>
      <c r="P803" s="668" t="str">
        <f>IFERROR(VLOOKUP(F803, [2]MOE!B:C, 2, FALSE), "No")</f>
        <v>No</v>
      </c>
      <c r="Q803" s="711" t="s">
        <v>1004</v>
      </c>
      <c r="S803" s="670" t="s">
        <v>1642</v>
      </c>
      <c r="T803" s="668" t="s">
        <v>1074</v>
      </c>
    </row>
    <row r="804" spans="1:20">
      <c r="A804" s="679">
        <v>2331510</v>
      </c>
      <c r="B804" s="677"/>
      <c r="C804" s="672"/>
      <c r="D804" s="672"/>
      <c r="E804" s="676" t="s">
        <v>1168</v>
      </c>
      <c r="F804" s="683" t="s">
        <v>1671</v>
      </c>
      <c r="G804" s="678">
        <v>233</v>
      </c>
      <c r="H804" s="684">
        <v>1510</v>
      </c>
      <c r="J804" s="668" t="str">
        <f t="shared" si="127"/>
        <v>(b) Louisiana School Emp. Retirement</v>
      </c>
      <c r="L804" s="668">
        <v>92</v>
      </c>
      <c r="M804" s="669">
        <v>87</v>
      </c>
      <c r="N804" s="668"/>
      <c r="O804" s="668">
        <v>11</v>
      </c>
      <c r="P804" s="668" t="str">
        <f>IFERROR(VLOOKUP(F804, [2]MOE!B:C, 2, FALSE), "No")</f>
        <v>No</v>
      </c>
      <c r="Q804" s="711" t="s">
        <v>1004</v>
      </c>
      <c r="S804" s="670" t="s">
        <v>1642</v>
      </c>
      <c r="T804" s="668" t="s">
        <v>1170</v>
      </c>
    </row>
    <row r="805" spans="1:20">
      <c r="A805" s="679">
        <v>2391510</v>
      </c>
      <c r="B805" s="677"/>
      <c r="C805" s="672"/>
      <c r="D805" s="672"/>
      <c r="E805" s="676" t="s">
        <v>1171</v>
      </c>
      <c r="F805" s="683" t="s">
        <v>1672</v>
      </c>
      <c r="G805" s="678">
        <v>239</v>
      </c>
      <c r="H805" s="684">
        <v>1510</v>
      </c>
      <c r="J805" s="668" t="str">
        <f t="shared" si="127"/>
        <v>(c) Other Retirement</v>
      </c>
      <c r="L805" s="668">
        <v>92</v>
      </c>
      <c r="M805" s="669">
        <v>87</v>
      </c>
      <c r="N805" s="668"/>
      <c r="O805" s="668">
        <v>11</v>
      </c>
      <c r="P805" s="668" t="str">
        <f>IFERROR(VLOOKUP(F805, [2]MOE!B:C, 2, FALSE), "No")</f>
        <v>No</v>
      </c>
      <c r="Q805" s="711" t="s">
        <v>1004</v>
      </c>
      <c r="S805" s="670" t="s">
        <v>1642</v>
      </c>
      <c r="T805" s="668" t="s">
        <v>1080</v>
      </c>
    </row>
    <row r="806" spans="1:20">
      <c r="A806" s="679">
        <v>2501510</v>
      </c>
      <c r="B806" s="677"/>
      <c r="C806" s="672"/>
      <c r="D806" s="672"/>
      <c r="E806" s="676" t="s">
        <v>1173</v>
      </c>
      <c r="F806" s="683" t="s">
        <v>1673</v>
      </c>
      <c r="G806" s="678">
        <v>250</v>
      </c>
      <c r="H806" s="684">
        <v>1510</v>
      </c>
      <c r="J806" s="668" t="str">
        <f t="shared" si="127"/>
        <v>(5) Unemployment Compensation</v>
      </c>
      <c r="L806" s="668">
        <v>93</v>
      </c>
      <c r="M806" s="669">
        <v>88</v>
      </c>
      <c r="N806" s="668"/>
      <c r="O806" s="668">
        <v>11</v>
      </c>
      <c r="P806" s="668" t="str">
        <f>IFERROR(VLOOKUP(F806, [2]MOE!B:C, 2, FALSE), "No")</f>
        <v>No</v>
      </c>
      <c r="Q806" s="711" t="s">
        <v>1004</v>
      </c>
      <c r="S806" s="670" t="s">
        <v>1642</v>
      </c>
      <c r="T806" s="668" t="s">
        <v>1081</v>
      </c>
    </row>
    <row r="807" spans="1:20">
      <c r="A807" s="679">
        <v>2601510</v>
      </c>
      <c r="B807" s="677"/>
      <c r="C807" s="672"/>
      <c r="D807" s="672"/>
      <c r="E807" s="676" t="s">
        <v>1175</v>
      </c>
      <c r="F807" s="683" t="s">
        <v>1674</v>
      </c>
      <c r="G807" s="678">
        <v>260</v>
      </c>
      <c r="H807" s="684">
        <v>1510</v>
      </c>
      <c r="J807" s="668" t="str">
        <f t="shared" si="127"/>
        <v>(6) Workmen's Compensation</v>
      </c>
      <c r="L807" s="668">
        <v>95</v>
      </c>
      <c r="M807" s="669">
        <v>90</v>
      </c>
      <c r="N807" s="668"/>
      <c r="O807" s="668">
        <v>11</v>
      </c>
      <c r="P807" s="668" t="str">
        <f>IFERROR(VLOOKUP(F807, [2]MOE!B:C, 2, FALSE), "No")</f>
        <v>No</v>
      </c>
      <c r="Q807" s="711" t="s">
        <v>1004</v>
      </c>
      <c r="S807" s="670" t="s">
        <v>1642</v>
      </c>
      <c r="T807" s="668" t="s">
        <v>1083</v>
      </c>
    </row>
    <row r="808" spans="1:20">
      <c r="A808" s="679">
        <v>2701510</v>
      </c>
      <c r="B808" s="677"/>
      <c r="C808" s="672"/>
      <c r="D808" s="672"/>
      <c r="E808" s="676" t="s">
        <v>1177</v>
      </c>
      <c r="F808" s="683" t="s">
        <v>1675</v>
      </c>
      <c r="G808" s="678">
        <v>270</v>
      </c>
      <c r="H808" s="684">
        <v>1510</v>
      </c>
      <c r="J808" s="668" t="str">
        <f t="shared" si="127"/>
        <v>(7) Health Benefits (retirees)</v>
      </c>
      <c r="L808" s="668">
        <v>94</v>
      </c>
      <c r="M808" s="669">
        <v>89</v>
      </c>
      <c r="N808" s="668"/>
      <c r="O808" s="668">
        <v>11</v>
      </c>
      <c r="P808" s="668" t="str">
        <f>IFERROR(VLOOKUP(F808, [2]MOE!B:C, 2, FALSE), "No")</f>
        <v>No</v>
      </c>
      <c r="Q808" s="711" t="s">
        <v>1004</v>
      </c>
      <c r="S808" s="670" t="s">
        <v>1642</v>
      </c>
      <c r="T808" s="668" t="s">
        <v>1085</v>
      </c>
    </row>
    <row r="809" spans="1:20">
      <c r="A809" s="679">
        <v>2811510</v>
      </c>
      <c r="B809" s="677"/>
      <c r="C809" s="672"/>
      <c r="D809" s="672"/>
      <c r="E809" s="676" t="s">
        <v>1179</v>
      </c>
      <c r="F809" s="683" t="s">
        <v>1676</v>
      </c>
      <c r="G809" s="678">
        <v>281</v>
      </c>
      <c r="H809" s="684">
        <v>1510</v>
      </c>
      <c r="J809" s="668" t="str">
        <f t="shared" si="127"/>
        <v>(8) Sick Leave Severance Pay</v>
      </c>
      <c r="L809" s="668">
        <v>95</v>
      </c>
      <c r="M809" s="669">
        <v>90</v>
      </c>
      <c r="N809" s="668"/>
      <c r="O809" s="668">
        <v>11</v>
      </c>
      <c r="P809" s="668" t="str">
        <f>IFERROR(VLOOKUP(F809, [2]MOE!B:C, 2, FALSE), "No")</f>
        <v>No</v>
      </c>
      <c r="Q809" s="711" t="s">
        <v>1004</v>
      </c>
      <c r="S809" s="670" t="s">
        <v>1642</v>
      </c>
      <c r="T809" s="668" t="s">
        <v>1087</v>
      </c>
    </row>
    <row r="810" spans="1:20">
      <c r="A810" s="679">
        <v>2821510</v>
      </c>
      <c r="B810" s="677"/>
      <c r="C810" s="672"/>
      <c r="D810" s="672"/>
      <c r="E810" s="676" t="s">
        <v>1181</v>
      </c>
      <c r="F810" s="683" t="s">
        <v>1677</v>
      </c>
      <c r="G810" s="678">
        <v>282</v>
      </c>
      <c r="H810" s="684">
        <v>1510</v>
      </c>
      <c r="J810" s="668" t="str">
        <f t="shared" si="127"/>
        <v>(9) Annual Leave Severance Pay</v>
      </c>
      <c r="L810" s="668">
        <v>95</v>
      </c>
      <c r="M810" s="669">
        <v>90</v>
      </c>
      <c r="N810" s="668"/>
      <c r="O810" s="668">
        <v>11</v>
      </c>
      <c r="P810" s="668" t="str">
        <f>IFERROR(VLOOKUP(F810, [2]MOE!B:C, 2, FALSE), "No")</f>
        <v>No</v>
      </c>
      <c r="Q810" s="711" t="s">
        <v>1004</v>
      </c>
      <c r="S810" s="670" t="s">
        <v>1642</v>
      </c>
      <c r="T810" s="668" t="s">
        <v>1089</v>
      </c>
    </row>
    <row r="811" spans="1:20">
      <c r="A811" s="679">
        <v>2901510</v>
      </c>
      <c r="B811" s="677"/>
      <c r="C811" s="672"/>
      <c r="D811" s="672"/>
      <c r="E811" s="676" t="s">
        <v>1183</v>
      </c>
      <c r="F811" s="683" t="s">
        <v>1678</v>
      </c>
      <c r="G811" s="678">
        <v>290</v>
      </c>
      <c r="H811" s="684">
        <v>1510</v>
      </c>
      <c r="J811" s="668" t="str">
        <f t="shared" si="127"/>
        <v>(10) Other Employee Benefits</v>
      </c>
      <c r="L811" s="668">
        <v>95</v>
      </c>
      <c r="M811" s="669">
        <v>90</v>
      </c>
      <c r="N811" s="668"/>
      <c r="O811" s="668">
        <v>11</v>
      </c>
      <c r="P811" s="668" t="str">
        <f>IFERROR(VLOOKUP(F811, [2]MOE!B:C, 2, FALSE), "No")</f>
        <v>No</v>
      </c>
      <c r="Q811" s="711" t="s">
        <v>1004</v>
      </c>
      <c r="S811" s="670" t="s">
        <v>1642</v>
      </c>
      <c r="T811" s="668" t="s">
        <v>1092</v>
      </c>
    </row>
    <row r="812" spans="1:20">
      <c r="A812" s="671"/>
      <c r="B812" s="677"/>
      <c r="C812" s="678">
        <v>28</v>
      </c>
      <c r="D812" s="927" t="s">
        <v>1679</v>
      </c>
      <c r="E812" s="926"/>
      <c r="F812" s="675"/>
      <c r="G812" s="672"/>
      <c r="H812" s="676"/>
      <c r="Q812" s="711"/>
      <c r="S812" s="670"/>
    </row>
    <row r="813" spans="1:20">
      <c r="A813" s="671"/>
      <c r="B813" s="677"/>
      <c r="C813" s="672"/>
      <c r="D813" s="672" t="s">
        <v>759</v>
      </c>
      <c r="E813" s="676" t="s">
        <v>244</v>
      </c>
      <c r="F813" s="675"/>
      <c r="G813" s="672"/>
      <c r="H813" s="676"/>
      <c r="Q813" s="711"/>
      <c r="S813" s="670"/>
    </row>
    <row r="814" spans="1:20">
      <c r="A814" s="679">
        <v>1121520</v>
      </c>
      <c r="B814" s="677"/>
      <c r="C814" s="672"/>
      <c r="D814" s="672"/>
      <c r="E814" s="676" t="s">
        <v>1098</v>
      </c>
      <c r="F814" s="680" t="s">
        <v>1680</v>
      </c>
      <c r="G814" s="710">
        <v>112</v>
      </c>
      <c r="H814" s="682">
        <v>1520</v>
      </c>
      <c r="J814" s="668" t="str">
        <f t="shared" ref="J814:J820" si="128">E814</f>
        <v>(1) Teachers</v>
      </c>
      <c r="L814" s="668">
        <v>82</v>
      </c>
      <c r="M814" s="669">
        <v>77</v>
      </c>
      <c r="N814" s="668"/>
      <c r="O814" s="668">
        <v>11</v>
      </c>
      <c r="P814" s="668" t="str">
        <f>IFERROR(VLOOKUP(F814, [2]MOE!B:C, 2, FALSE), "No")</f>
        <v>No</v>
      </c>
      <c r="Q814" s="711" t="s">
        <v>1004</v>
      </c>
      <c r="S814" s="670" t="s">
        <v>1681</v>
      </c>
      <c r="T814" s="668" t="s">
        <v>5</v>
      </c>
    </row>
    <row r="815" spans="1:20">
      <c r="A815" s="679">
        <v>1151520</v>
      </c>
      <c r="B815" s="677"/>
      <c r="C815" s="672"/>
      <c r="D815" s="672"/>
      <c r="E815" s="676" t="s">
        <v>1100</v>
      </c>
      <c r="F815" s="680" t="s">
        <v>1682</v>
      </c>
      <c r="G815" s="710">
        <v>115</v>
      </c>
      <c r="H815" s="682">
        <v>1520</v>
      </c>
      <c r="J815" s="668" t="str">
        <f t="shared" si="128"/>
        <v>(2) Para-professionals (Aides)</v>
      </c>
      <c r="L815" s="668">
        <v>86</v>
      </c>
      <c r="M815" s="669">
        <v>81</v>
      </c>
      <c r="N815" s="668"/>
      <c r="O815" s="668">
        <v>11</v>
      </c>
      <c r="P815" s="668" t="str">
        <f>IFERROR(VLOOKUP(F815, [2]MOE!B:C, 2, FALSE), "No")</f>
        <v>No</v>
      </c>
      <c r="Q815" s="711" t="s">
        <v>1004</v>
      </c>
      <c r="S815" s="670" t="s">
        <v>1681</v>
      </c>
      <c r="T815" s="668" t="s">
        <v>1102</v>
      </c>
    </row>
    <row r="816" spans="1:20">
      <c r="A816" s="679">
        <v>1231520</v>
      </c>
      <c r="B816" s="677"/>
      <c r="C816" s="672"/>
      <c r="D816" s="672"/>
      <c r="E816" s="676" t="s">
        <v>1103</v>
      </c>
      <c r="F816" s="680" t="s">
        <v>1683</v>
      </c>
      <c r="G816" s="710">
        <v>123</v>
      </c>
      <c r="H816" s="682">
        <v>1520</v>
      </c>
      <c r="J816" s="668" t="str">
        <f t="shared" si="128"/>
        <v>(3) Substitute Teachers</v>
      </c>
      <c r="L816" s="668">
        <v>86</v>
      </c>
      <c r="M816" s="669">
        <v>81</v>
      </c>
      <c r="N816" s="668"/>
      <c r="O816" s="668">
        <v>11</v>
      </c>
      <c r="P816" s="668" t="str">
        <f>IFERROR(VLOOKUP(F816, [2]MOE!B:C, 2, FALSE), "No")</f>
        <v>No</v>
      </c>
      <c r="Q816" s="711" t="s">
        <v>1004</v>
      </c>
      <c r="S816" s="670" t="s">
        <v>1681</v>
      </c>
      <c r="T816" s="668" t="s">
        <v>1105</v>
      </c>
    </row>
    <row r="817" spans="1:20">
      <c r="A817" s="679">
        <v>1201520</v>
      </c>
      <c r="B817" s="677"/>
      <c r="C817" s="672"/>
      <c r="D817" s="672"/>
      <c r="E817" s="676" t="s">
        <v>1106</v>
      </c>
      <c r="F817" s="680" t="s">
        <v>1684</v>
      </c>
      <c r="G817" s="710">
        <v>120</v>
      </c>
      <c r="H817" s="682">
        <v>1520</v>
      </c>
      <c r="J817" s="668" t="str">
        <f t="shared" si="128"/>
        <v>(4) Other Substitute/Temp. Employees</v>
      </c>
      <c r="L817" s="668">
        <v>86</v>
      </c>
      <c r="M817" s="669">
        <v>81</v>
      </c>
      <c r="N817" s="668"/>
      <c r="O817" s="668">
        <v>11</v>
      </c>
      <c r="P817" s="668" t="str">
        <f>IFERROR(VLOOKUP(F817, [2]MOE!B:C, 2, FALSE), "No")</f>
        <v>No</v>
      </c>
      <c r="Q817" s="711" t="s">
        <v>1004</v>
      </c>
      <c r="S817" s="670" t="s">
        <v>1681</v>
      </c>
      <c r="T817" s="668" t="s">
        <v>1108</v>
      </c>
    </row>
    <row r="818" spans="1:20">
      <c r="A818" s="679">
        <v>1001520</v>
      </c>
      <c r="B818" s="677"/>
      <c r="C818" s="672"/>
      <c r="D818" s="672"/>
      <c r="E818" s="676" t="s">
        <v>1109</v>
      </c>
      <c r="F818" s="680" t="s">
        <v>1685</v>
      </c>
      <c r="G818" s="710">
        <v>100</v>
      </c>
      <c r="H818" s="682">
        <v>1520</v>
      </c>
      <c r="J818" s="668" t="str">
        <f t="shared" si="128"/>
        <v>(5) Other Instructional Salaries</v>
      </c>
      <c r="L818" s="668">
        <v>86</v>
      </c>
      <c r="M818" s="669">
        <v>81</v>
      </c>
      <c r="N818" s="668"/>
      <c r="O818" s="668">
        <v>11</v>
      </c>
      <c r="P818" s="668" t="str">
        <f>IFERROR(VLOOKUP(F818, [2]MOE!B:C, 2, FALSE), "No")</f>
        <v>No</v>
      </c>
      <c r="Q818" s="711" t="s">
        <v>1004</v>
      </c>
      <c r="S818" s="670" t="s">
        <v>1681</v>
      </c>
      <c r="T818" s="668" t="s">
        <v>1017</v>
      </c>
    </row>
    <row r="819" spans="1:20">
      <c r="A819" s="679">
        <v>1401520</v>
      </c>
      <c r="B819" s="677"/>
      <c r="C819" s="672"/>
      <c r="D819" s="672"/>
      <c r="E819" s="676" t="s">
        <v>1111</v>
      </c>
      <c r="F819" s="680" t="s">
        <v>1686</v>
      </c>
      <c r="G819" s="710">
        <v>140</v>
      </c>
      <c r="H819" s="682">
        <v>1520</v>
      </c>
      <c r="J819" s="668" t="str">
        <f t="shared" si="128"/>
        <v>(6) Sabbatical Leave</v>
      </c>
      <c r="L819" s="668">
        <v>86</v>
      </c>
      <c r="M819" s="669">
        <v>81</v>
      </c>
      <c r="N819" s="668"/>
      <c r="O819" s="668">
        <v>11</v>
      </c>
      <c r="P819" s="668" t="str">
        <f>IFERROR(VLOOKUP(F819, [2]MOE!B:C, 2, FALSE), "No")</f>
        <v>No</v>
      </c>
      <c r="Q819" s="711" t="s">
        <v>1004</v>
      </c>
      <c r="S819" s="670" t="s">
        <v>1681</v>
      </c>
      <c r="T819" s="668" t="s">
        <v>1019</v>
      </c>
    </row>
    <row r="820" spans="1:20">
      <c r="A820" s="679">
        <v>3001520</v>
      </c>
      <c r="B820" s="677"/>
      <c r="C820" s="672"/>
      <c r="D820" s="672" t="s">
        <v>777</v>
      </c>
      <c r="E820" s="676" t="s">
        <v>1113</v>
      </c>
      <c r="F820" s="680" t="s">
        <v>1687</v>
      </c>
      <c r="G820" s="710">
        <v>300</v>
      </c>
      <c r="H820" s="682">
        <v>1520</v>
      </c>
      <c r="J820" s="668" t="str">
        <f t="shared" si="128"/>
        <v>Purchased Professional and Technical Svcs</v>
      </c>
      <c r="L820" s="668">
        <v>101</v>
      </c>
      <c r="M820" s="669">
        <v>96</v>
      </c>
      <c r="N820" s="668"/>
      <c r="O820" s="668">
        <v>11</v>
      </c>
      <c r="P820" s="668" t="str">
        <f>IFERROR(VLOOKUP(F820, [2]MOE!B:C, 2, FALSE), "No")</f>
        <v>No</v>
      </c>
      <c r="Q820" s="711"/>
      <c r="S820" s="670" t="s">
        <v>1681</v>
      </c>
      <c r="T820" s="668" t="s">
        <v>1113</v>
      </c>
    </row>
    <row r="821" spans="1:20">
      <c r="A821" s="671"/>
      <c r="B821" s="677"/>
      <c r="C821" s="672"/>
      <c r="D821" s="672" t="s">
        <v>801</v>
      </c>
      <c r="E821" s="676" t="s">
        <v>250</v>
      </c>
      <c r="F821" s="675"/>
      <c r="G821" s="672"/>
      <c r="H821" s="676"/>
      <c r="Q821" s="711"/>
      <c r="S821" s="670"/>
    </row>
    <row r="822" spans="1:20">
      <c r="A822" s="679">
        <v>4301520</v>
      </c>
      <c r="B822" s="677"/>
      <c r="C822" s="672"/>
      <c r="D822" s="672"/>
      <c r="E822" s="676" t="s">
        <v>1115</v>
      </c>
      <c r="F822" s="680" t="s">
        <v>1688</v>
      </c>
      <c r="G822" s="710">
        <v>430</v>
      </c>
      <c r="H822" s="682">
        <v>1520</v>
      </c>
      <c r="J822" s="668" t="str">
        <f t="shared" ref="J822:J824" si="129">E822</f>
        <v>(1) Repairs and Maintenance Services</v>
      </c>
      <c r="L822" s="668">
        <v>107</v>
      </c>
      <c r="M822" s="669">
        <v>102</v>
      </c>
      <c r="N822" s="668"/>
      <c r="O822" s="668">
        <v>11</v>
      </c>
      <c r="P822" s="668" t="str">
        <f>IFERROR(VLOOKUP(F822, [2]MOE!B:C, 2, FALSE), "No")</f>
        <v>No</v>
      </c>
      <c r="Q822" s="711"/>
      <c r="S822" s="670" t="s">
        <v>1681</v>
      </c>
      <c r="T822" s="668" t="s">
        <v>1023</v>
      </c>
    </row>
    <row r="823" spans="1:20">
      <c r="A823" s="679">
        <v>4421520</v>
      </c>
      <c r="B823" s="677"/>
      <c r="C823" s="672"/>
      <c r="D823" s="672"/>
      <c r="E823" s="676" t="s">
        <v>1117</v>
      </c>
      <c r="F823" s="680" t="s">
        <v>1689</v>
      </c>
      <c r="G823" s="710">
        <v>442</v>
      </c>
      <c r="H823" s="682">
        <v>1520</v>
      </c>
      <c r="J823" s="668" t="str">
        <f t="shared" si="129"/>
        <v>(2) Rental of Equipment</v>
      </c>
      <c r="L823" s="668">
        <v>106</v>
      </c>
      <c r="M823" s="669">
        <v>101</v>
      </c>
      <c r="N823" s="668"/>
      <c r="O823" s="668">
        <v>11</v>
      </c>
      <c r="P823" s="668" t="str">
        <f>IFERROR(VLOOKUP(F823, [2]MOE!B:C, 2, FALSE), "No")</f>
        <v>No</v>
      </c>
      <c r="Q823" s="711"/>
      <c r="S823" s="670" t="s">
        <v>1681</v>
      </c>
      <c r="T823" s="668" t="s">
        <v>1025</v>
      </c>
    </row>
    <row r="824" spans="1:20">
      <c r="A824" s="679">
        <v>4001520</v>
      </c>
      <c r="B824" s="677"/>
      <c r="C824" s="672"/>
      <c r="D824" s="672"/>
      <c r="E824" s="676" t="s">
        <v>1119</v>
      </c>
      <c r="F824" s="680" t="s">
        <v>1690</v>
      </c>
      <c r="G824" s="710">
        <v>400</v>
      </c>
      <c r="H824" s="682">
        <v>1520</v>
      </c>
      <c r="J824" s="668" t="str">
        <f t="shared" si="129"/>
        <v>(3) Other Purchased Property Services</v>
      </c>
      <c r="L824" s="668">
        <v>108</v>
      </c>
      <c r="M824" s="669">
        <v>103</v>
      </c>
      <c r="N824" s="668"/>
      <c r="O824" s="668">
        <v>11</v>
      </c>
      <c r="P824" s="668" t="str">
        <f>IFERROR(VLOOKUP(F824, [2]MOE!B:C, 2, FALSE), "No")</f>
        <v>No</v>
      </c>
      <c r="Q824" s="711"/>
      <c r="S824" s="670" t="s">
        <v>1681</v>
      </c>
      <c r="T824" s="668" t="s">
        <v>1027</v>
      </c>
    </row>
    <row r="825" spans="1:20">
      <c r="A825" s="671"/>
      <c r="B825" s="677"/>
      <c r="C825" s="672"/>
      <c r="D825" s="672" t="s">
        <v>805</v>
      </c>
      <c r="E825" s="676" t="s">
        <v>252</v>
      </c>
      <c r="F825" s="675"/>
      <c r="G825" s="672"/>
      <c r="H825" s="676"/>
      <c r="Q825" s="711"/>
      <c r="S825" s="670"/>
    </row>
    <row r="826" spans="1:20">
      <c r="A826" s="671"/>
      <c r="B826" s="677"/>
      <c r="C826" s="672"/>
      <c r="D826" s="672"/>
      <c r="E826" s="676" t="s">
        <v>1121</v>
      </c>
      <c r="F826" s="675"/>
      <c r="G826" s="672"/>
      <c r="H826" s="676"/>
      <c r="Q826" s="711"/>
      <c r="S826" s="670"/>
    </row>
    <row r="827" spans="1:20">
      <c r="A827" s="679">
        <v>5611520</v>
      </c>
      <c r="B827" s="677"/>
      <c r="C827" s="672"/>
      <c r="D827" s="672"/>
      <c r="E827" s="676" t="s">
        <v>1122</v>
      </c>
      <c r="F827" s="680" t="s">
        <v>1691</v>
      </c>
      <c r="G827" s="710">
        <v>561</v>
      </c>
      <c r="H827" s="682">
        <v>1520</v>
      </c>
      <c r="J827" s="668" t="str">
        <f t="shared" ref="J827:J831" si="130">E827</f>
        <v>(a) Paid to Other LEA (In-State)</v>
      </c>
      <c r="L827" s="668">
        <v>119</v>
      </c>
      <c r="M827" s="669">
        <v>110</v>
      </c>
      <c r="N827" s="668"/>
      <c r="O827" s="668">
        <v>11</v>
      </c>
      <c r="P827" s="668" t="str">
        <f>IFERROR(VLOOKUP(F827, [2]MOE!B:C, 2, FALSE), "No")</f>
        <v>No</v>
      </c>
      <c r="Q827" s="711"/>
      <c r="S827" s="670" t="s">
        <v>1681</v>
      </c>
      <c r="T827" s="668" t="s">
        <v>1032</v>
      </c>
    </row>
    <row r="828" spans="1:20">
      <c r="A828" s="679">
        <v>5621520</v>
      </c>
      <c r="B828" s="677"/>
      <c r="C828" s="672"/>
      <c r="D828" s="672"/>
      <c r="E828" s="676" t="s">
        <v>1124</v>
      </c>
      <c r="F828" s="680" t="s">
        <v>1692</v>
      </c>
      <c r="G828" s="710">
        <v>562</v>
      </c>
      <c r="H828" s="682">
        <v>1520</v>
      </c>
      <c r="J828" s="668" t="str">
        <f t="shared" si="130"/>
        <v>(b) Paid to Other LEA (Out-of-State)</v>
      </c>
      <c r="L828" s="668">
        <v>119</v>
      </c>
      <c r="M828" s="669">
        <v>110</v>
      </c>
      <c r="N828" s="668"/>
      <c r="O828" s="668">
        <v>11</v>
      </c>
      <c r="P828" s="668" t="str">
        <f>IFERROR(VLOOKUP(F828, [2]MOE!B:C, 2, FALSE), "No")</f>
        <v>No</v>
      </c>
      <c r="Q828" s="711"/>
      <c r="S828" s="670" t="s">
        <v>1681</v>
      </c>
      <c r="T828" s="668" t="s">
        <v>1035</v>
      </c>
    </row>
    <row r="829" spans="1:20">
      <c r="A829" s="679">
        <v>5631520</v>
      </c>
      <c r="B829" s="677"/>
      <c r="C829" s="672"/>
      <c r="D829" s="672"/>
      <c r="E829" s="676" t="s">
        <v>1305</v>
      </c>
      <c r="F829" s="680" t="s">
        <v>1693</v>
      </c>
      <c r="G829" s="710">
        <v>563</v>
      </c>
      <c r="H829" s="682">
        <v>1520</v>
      </c>
      <c r="J829" s="668" t="str">
        <f t="shared" si="130"/>
        <v>(c) Paid to Private Sources</v>
      </c>
      <c r="L829" s="668">
        <v>119</v>
      </c>
      <c r="M829" s="669">
        <v>110</v>
      </c>
      <c r="N829" s="668"/>
      <c r="O829" s="668">
        <v>11</v>
      </c>
      <c r="P829" s="668" t="str">
        <f>IFERROR(VLOOKUP(F829, [2]MOE!B:C, 2, FALSE), "No")</f>
        <v>No</v>
      </c>
      <c r="Q829" s="711"/>
      <c r="S829" s="670" t="s">
        <v>1681</v>
      </c>
      <c r="T829" s="668" t="s">
        <v>1038</v>
      </c>
    </row>
    <row r="830" spans="1:20">
      <c r="A830" s="679">
        <v>5821520</v>
      </c>
      <c r="B830" s="677"/>
      <c r="C830" s="672"/>
      <c r="D830" s="672"/>
      <c r="E830" s="676" t="s">
        <v>1135</v>
      </c>
      <c r="F830" s="680" t="s">
        <v>1694</v>
      </c>
      <c r="G830" s="710">
        <v>582</v>
      </c>
      <c r="H830" s="682">
        <v>1520</v>
      </c>
      <c r="J830" s="668" t="str">
        <f t="shared" si="130"/>
        <v>(2) Travel Expense Reimbursement</v>
      </c>
      <c r="L830" s="668">
        <v>118</v>
      </c>
      <c r="M830" s="669">
        <v>109</v>
      </c>
      <c r="N830" s="668"/>
      <c r="O830" s="668">
        <v>11</v>
      </c>
      <c r="P830" s="668" t="str">
        <f>IFERROR(VLOOKUP(F830, [2]MOE!B:C, 2, FALSE), "No")</f>
        <v>No</v>
      </c>
      <c r="Q830" s="711"/>
      <c r="S830" s="670" t="s">
        <v>1681</v>
      </c>
      <c r="T830" s="668" t="s">
        <v>1039</v>
      </c>
    </row>
    <row r="831" spans="1:20">
      <c r="A831" s="679">
        <v>5001520</v>
      </c>
      <c r="B831" s="677"/>
      <c r="C831" s="672"/>
      <c r="D831" s="672"/>
      <c r="E831" s="676" t="s">
        <v>1137</v>
      </c>
      <c r="F831" s="680" t="s">
        <v>1695</v>
      </c>
      <c r="G831" s="710">
        <v>500</v>
      </c>
      <c r="H831" s="682">
        <v>1520</v>
      </c>
      <c r="J831" s="668" t="str">
        <f t="shared" si="130"/>
        <v>(3) Other Purchased Services</v>
      </c>
      <c r="L831" s="668">
        <v>119</v>
      </c>
      <c r="M831" s="669">
        <v>110</v>
      </c>
      <c r="N831" s="668"/>
      <c r="O831" s="668">
        <v>11</v>
      </c>
      <c r="P831" s="668" t="str">
        <f>IFERROR(VLOOKUP(F831, [2]MOE!B:C, 2, FALSE), "No")</f>
        <v>No</v>
      </c>
      <c r="Q831" s="711"/>
      <c r="S831" s="670" t="s">
        <v>1681</v>
      </c>
      <c r="T831" s="668" t="s">
        <v>252</v>
      </c>
    </row>
    <row r="832" spans="1:20">
      <c r="A832" s="671"/>
      <c r="B832" s="677"/>
      <c r="C832" s="672"/>
      <c r="D832" s="672" t="s">
        <v>850</v>
      </c>
      <c r="E832" s="676" t="s">
        <v>1042</v>
      </c>
      <c r="F832" s="675"/>
      <c r="G832" s="672"/>
      <c r="H832" s="676"/>
      <c r="Q832" s="711"/>
      <c r="S832" s="670"/>
    </row>
    <row r="833" spans="1:20">
      <c r="A833" s="679">
        <v>6151520</v>
      </c>
      <c r="B833" s="677"/>
      <c r="C833" s="672"/>
      <c r="D833" s="672"/>
      <c r="E833" s="676" t="s">
        <v>1139</v>
      </c>
      <c r="F833" s="680" t="s">
        <v>1696</v>
      </c>
      <c r="G833" s="710">
        <v>615</v>
      </c>
      <c r="H833" s="682">
        <v>1520</v>
      </c>
      <c r="J833" s="668" t="str">
        <f t="shared" ref="J833:J836" si="131">E833</f>
        <v>(1) Technology-Related Supplies</v>
      </c>
      <c r="L833" s="668">
        <v>126</v>
      </c>
      <c r="M833" s="669">
        <v>117</v>
      </c>
      <c r="N833" s="668"/>
      <c r="O833" s="668">
        <v>11</v>
      </c>
      <c r="P833" s="668" t="str">
        <f>IFERROR(VLOOKUP(F833, [2]MOE!B:C, 2, FALSE), "No")</f>
        <v>No</v>
      </c>
      <c r="Q833" s="711" t="s">
        <v>1045</v>
      </c>
      <c r="S833" s="670" t="s">
        <v>1681</v>
      </c>
      <c r="T833" s="668" t="s">
        <v>1043</v>
      </c>
    </row>
    <row r="834" spans="1:20">
      <c r="A834" s="679">
        <v>6101520</v>
      </c>
      <c r="B834" s="677"/>
      <c r="C834" s="672"/>
      <c r="D834" s="672"/>
      <c r="E834" s="676" t="s">
        <v>1141</v>
      </c>
      <c r="F834" s="680" t="s">
        <v>1697</v>
      </c>
      <c r="G834" s="710">
        <v>610</v>
      </c>
      <c r="H834" s="682">
        <v>1520</v>
      </c>
      <c r="J834" s="668" t="str">
        <f t="shared" si="131"/>
        <v>(2) Materials and Supplies</v>
      </c>
      <c r="L834" s="668">
        <v>122</v>
      </c>
      <c r="M834" s="669">
        <v>113</v>
      </c>
      <c r="N834" s="668"/>
      <c r="O834" s="668">
        <v>11</v>
      </c>
      <c r="P834" s="668" t="str">
        <f>IFERROR(VLOOKUP(F834, [2]MOE!B:C, 2, FALSE), "No")</f>
        <v>No</v>
      </c>
      <c r="Q834" s="711" t="s">
        <v>1045</v>
      </c>
      <c r="S834" s="670" t="s">
        <v>1681</v>
      </c>
      <c r="T834" s="668" t="s">
        <v>39</v>
      </c>
    </row>
    <row r="835" spans="1:20">
      <c r="A835" s="679">
        <v>6421520</v>
      </c>
      <c r="B835" s="677"/>
      <c r="C835" s="672"/>
      <c r="D835" s="672"/>
      <c r="E835" s="676" t="s">
        <v>1143</v>
      </c>
      <c r="F835" s="680" t="s">
        <v>1698</v>
      </c>
      <c r="G835" s="710">
        <v>642</v>
      </c>
      <c r="H835" s="682">
        <v>1520</v>
      </c>
      <c r="J835" s="668" t="str">
        <f t="shared" si="131"/>
        <v>(3) Textbooks/Workbooks</v>
      </c>
      <c r="L835" s="668">
        <v>125</v>
      </c>
      <c r="M835" s="669">
        <v>116</v>
      </c>
      <c r="N835" s="668"/>
      <c r="O835" s="668">
        <v>11</v>
      </c>
      <c r="P835" s="668" t="str">
        <f>IFERROR(VLOOKUP(F835, [2]MOE!B:C, 2, FALSE), "No")</f>
        <v>No</v>
      </c>
      <c r="Q835" s="711" t="s">
        <v>1045</v>
      </c>
      <c r="S835" s="670" t="s">
        <v>1681</v>
      </c>
      <c r="T835" s="668" t="s">
        <v>1048</v>
      </c>
    </row>
    <row r="836" spans="1:20">
      <c r="A836" s="679">
        <v>6001520</v>
      </c>
      <c r="B836" s="677"/>
      <c r="C836" s="672"/>
      <c r="D836" s="672"/>
      <c r="E836" s="676" t="s">
        <v>1145</v>
      </c>
      <c r="F836" s="680" t="s">
        <v>1699</v>
      </c>
      <c r="G836" s="710">
        <v>600</v>
      </c>
      <c r="H836" s="682">
        <v>1520</v>
      </c>
      <c r="J836" s="668" t="str">
        <f t="shared" si="131"/>
        <v>(4) Other Supplies</v>
      </c>
      <c r="L836" s="668">
        <v>126</v>
      </c>
      <c r="M836" s="669">
        <v>117</v>
      </c>
      <c r="N836" s="668"/>
      <c r="O836" s="668">
        <v>11</v>
      </c>
      <c r="P836" s="668" t="str">
        <f>IFERROR(VLOOKUP(F836, [2]MOE!B:C, 2, FALSE), "No")</f>
        <v>No</v>
      </c>
      <c r="Q836" s="711"/>
      <c r="S836" s="670" t="s">
        <v>1681</v>
      </c>
      <c r="T836" s="668" t="s">
        <v>1050</v>
      </c>
    </row>
    <row r="837" spans="1:20">
      <c r="A837" s="671"/>
      <c r="B837" s="677"/>
      <c r="C837" s="672"/>
      <c r="D837" s="672" t="s">
        <v>853</v>
      </c>
      <c r="E837" s="676" t="s">
        <v>1052</v>
      </c>
      <c r="F837" s="675"/>
      <c r="G837" s="672"/>
      <c r="H837" s="676"/>
      <c r="Q837" s="711"/>
      <c r="S837" s="670"/>
    </row>
    <row r="838" spans="1:20">
      <c r="A838" s="679">
        <v>7341520</v>
      </c>
      <c r="B838" s="677"/>
      <c r="C838" s="672"/>
      <c r="D838" s="672"/>
      <c r="E838" s="676" t="s">
        <v>1147</v>
      </c>
      <c r="F838" s="680" t="s">
        <v>1700</v>
      </c>
      <c r="G838" s="710">
        <v>734</v>
      </c>
      <c r="H838" s="682">
        <v>1520</v>
      </c>
      <c r="J838" s="668" t="str">
        <f t="shared" ref="J838:J841" si="132">E838</f>
        <v>(1) Technology-Related Hardware</v>
      </c>
      <c r="L838" s="668">
        <v>131</v>
      </c>
      <c r="M838" s="669">
        <v>122</v>
      </c>
      <c r="N838" s="668"/>
      <c r="O838" s="668">
        <v>11</v>
      </c>
      <c r="P838" s="668" t="str">
        <f>IFERROR(VLOOKUP(F838, [2]MOE!B:C, 2, FALSE), "No")</f>
        <v>No</v>
      </c>
      <c r="Q838" s="711"/>
      <c r="S838" s="670" t="s">
        <v>1681</v>
      </c>
      <c r="T838" s="668" t="s">
        <v>1053</v>
      </c>
    </row>
    <row r="839" spans="1:20">
      <c r="A839" s="679">
        <v>7351520</v>
      </c>
      <c r="B839" s="677"/>
      <c r="C839" s="672"/>
      <c r="D839" s="672"/>
      <c r="E839" s="676" t="s">
        <v>1149</v>
      </c>
      <c r="F839" s="680" t="s">
        <v>1701</v>
      </c>
      <c r="G839" s="710">
        <v>735</v>
      </c>
      <c r="H839" s="682">
        <v>1520</v>
      </c>
      <c r="J839" s="668" t="str">
        <f t="shared" si="132"/>
        <v>(2) Technology Software</v>
      </c>
      <c r="L839" s="668">
        <v>131</v>
      </c>
      <c r="M839" s="669">
        <v>122</v>
      </c>
      <c r="N839" s="668"/>
      <c r="O839" s="668">
        <v>11</v>
      </c>
      <c r="P839" s="668" t="str">
        <f>IFERROR(VLOOKUP(F839, [2]MOE!B:C, 2, FALSE), "No")</f>
        <v>No</v>
      </c>
      <c r="Q839" s="711"/>
      <c r="S839" s="670" t="s">
        <v>1681</v>
      </c>
      <c r="T839" s="668" t="s">
        <v>1055</v>
      </c>
    </row>
    <row r="840" spans="1:20">
      <c r="A840" s="679">
        <v>7301520</v>
      </c>
      <c r="B840" s="677"/>
      <c r="C840" s="672"/>
      <c r="D840" s="672"/>
      <c r="E840" s="676" t="s">
        <v>1151</v>
      </c>
      <c r="F840" s="680" t="s">
        <v>1702</v>
      </c>
      <c r="G840" s="710">
        <v>730</v>
      </c>
      <c r="H840" s="682">
        <v>1520</v>
      </c>
      <c r="J840" s="668" t="str">
        <f t="shared" si="132"/>
        <v>(3) All Other Equipment</v>
      </c>
      <c r="L840" s="668">
        <v>131</v>
      </c>
      <c r="M840" s="669">
        <v>122</v>
      </c>
      <c r="N840" s="668"/>
      <c r="O840" s="668">
        <v>11</v>
      </c>
      <c r="P840" s="668" t="str">
        <f>IFERROR(VLOOKUP(F840, [2]MOE!B:C, 2, FALSE), "No")</f>
        <v>No</v>
      </c>
      <c r="Q840" s="711"/>
      <c r="S840" s="670" t="s">
        <v>1681</v>
      </c>
      <c r="T840" s="668" t="s">
        <v>1057</v>
      </c>
    </row>
    <row r="841" spans="1:20">
      <c r="A841" s="679">
        <v>7001520</v>
      </c>
      <c r="B841" s="677"/>
      <c r="C841" s="672"/>
      <c r="D841" s="672"/>
      <c r="E841" s="676" t="s">
        <v>1153</v>
      </c>
      <c r="F841" s="680" t="s">
        <v>1703</v>
      </c>
      <c r="G841" s="710">
        <v>700</v>
      </c>
      <c r="H841" s="682">
        <v>1520</v>
      </c>
      <c r="J841" s="668" t="str">
        <f t="shared" si="132"/>
        <v>(4) Other Property</v>
      </c>
      <c r="L841" s="668">
        <v>132</v>
      </c>
      <c r="M841" s="669">
        <v>123</v>
      </c>
      <c r="N841" s="668"/>
      <c r="O841" s="668">
        <v>11</v>
      </c>
      <c r="P841" s="668" t="str">
        <f>IFERROR(VLOOKUP(F841, [2]MOE!B:C, 2, FALSE), "No")</f>
        <v>No</v>
      </c>
      <c r="Q841" s="711"/>
      <c r="S841" s="670" t="s">
        <v>1681</v>
      </c>
      <c r="T841" s="668" t="s">
        <v>1059</v>
      </c>
    </row>
    <row r="842" spans="1:20">
      <c r="A842" s="671"/>
      <c r="B842" s="677"/>
      <c r="C842" s="672"/>
      <c r="D842" s="672" t="s">
        <v>856</v>
      </c>
      <c r="E842" s="676" t="s">
        <v>256</v>
      </c>
      <c r="F842" s="675"/>
      <c r="G842" s="672"/>
      <c r="H842" s="676"/>
      <c r="Q842" s="711"/>
      <c r="S842" s="670"/>
    </row>
    <row r="843" spans="1:20">
      <c r="A843" s="679">
        <v>8951520</v>
      </c>
      <c r="B843" s="677"/>
      <c r="C843" s="672"/>
      <c r="D843" s="672"/>
      <c r="E843" s="676" t="s">
        <v>1155</v>
      </c>
      <c r="F843" s="683" t="s">
        <v>1704</v>
      </c>
      <c r="G843" s="678">
        <v>895</v>
      </c>
      <c r="H843" s="684">
        <v>1520</v>
      </c>
      <c r="J843" s="668" t="str">
        <f t="shared" ref="J843:J844" si="133">E843</f>
        <v>(1) Miscellaneous Non-Public Expenditures</v>
      </c>
      <c r="L843" s="668">
        <v>139</v>
      </c>
      <c r="M843" s="669">
        <v>129</v>
      </c>
      <c r="N843" s="668"/>
      <c r="O843" s="668">
        <v>11</v>
      </c>
      <c r="P843" s="668" t="str">
        <f>IFERROR(VLOOKUP(F843, [2]MOE!B:C, 2, FALSE), "No")</f>
        <v>No</v>
      </c>
      <c r="Q843" s="711"/>
      <c r="S843" s="670" t="s">
        <v>1681</v>
      </c>
      <c r="T843" s="668" t="s">
        <v>1061</v>
      </c>
    </row>
    <row r="844" spans="1:20">
      <c r="A844" s="679">
        <v>8001520</v>
      </c>
      <c r="B844" s="677"/>
      <c r="C844" s="672"/>
      <c r="D844" s="672"/>
      <c r="E844" s="676" t="s">
        <v>1157</v>
      </c>
      <c r="F844" s="683" t="s">
        <v>1705</v>
      </c>
      <c r="G844" s="678">
        <v>800</v>
      </c>
      <c r="H844" s="684">
        <v>1520</v>
      </c>
      <c r="J844" s="668" t="str">
        <f t="shared" si="133"/>
        <v>(2) Other Miscellaneous Expenditures</v>
      </c>
      <c r="L844" s="668">
        <v>139</v>
      </c>
      <c r="M844" s="669">
        <v>129</v>
      </c>
      <c r="N844" s="668"/>
      <c r="O844" s="668">
        <v>11</v>
      </c>
      <c r="P844" s="668" t="str">
        <f>IFERROR(VLOOKUP(F844, [2]MOE!B:C, 2, FALSE), "No")</f>
        <v>No</v>
      </c>
      <c r="Q844" s="711"/>
      <c r="S844" s="670" t="s">
        <v>1681</v>
      </c>
      <c r="T844" s="668" t="s">
        <v>1063</v>
      </c>
    </row>
    <row r="845" spans="1:20">
      <c r="A845" s="671"/>
      <c r="B845" s="677"/>
      <c r="C845" s="672"/>
      <c r="D845" s="672" t="s">
        <v>859</v>
      </c>
      <c r="E845" s="676" t="s">
        <v>1065</v>
      </c>
      <c r="F845" s="675"/>
      <c r="G845" s="672"/>
      <c r="H845" s="676"/>
      <c r="Q845" s="711"/>
      <c r="S845" s="670"/>
    </row>
    <row r="846" spans="1:20">
      <c r="A846" s="679">
        <v>2101520</v>
      </c>
      <c r="B846" s="677"/>
      <c r="C846" s="672"/>
      <c r="D846" s="672"/>
      <c r="E846" s="676" t="s">
        <v>1159</v>
      </c>
      <c r="F846" s="683" t="s">
        <v>1706</v>
      </c>
      <c r="G846" s="678">
        <v>210</v>
      </c>
      <c r="H846" s="684">
        <v>1520</v>
      </c>
      <c r="J846" s="668" t="str">
        <f t="shared" ref="J846:J848" si="134">E846</f>
        <v>(1) Group Insurance</v>
      </c>
      <c r="L846" s="668">
        <v>89</v>
      </c>
      <c r="M846" s="669">
        <v>84</v>
      </c>
      <c r="N846" s="668"/>
      <c r="O846" s="668">
        <v>11</v>
      </c>
      <c r="P846" s="668" t="str">
        <f>IFERROR(VLOOKUP(F846, [2]MOE!B:C, 2, FALSE), "No")</f>
        <v>No</v>
      </c>
      <c r="Q846" s="711" t="s">
        <v>1004</v>
      </c>
      <c r="S846" s="670" t="s">
        <v>1681</v>
      </c>
      <c r="T846" s="668" t="s">
        <v>1066</v>
      </c>
    </row>
    <row r="847" spans="1:20">
      <c r="A847" s="679">
        <v>2201520</v>
      </c>
      <c r="B847" s="677"/>
      <c r="C847" s="672"/>
      <c r="D847" s="672"/>
      <c r="E847" s="676" t="s">
        <v>1161</v>
      </c>
      <c r="F847" s="683" t="s">
        <v>1707</v>
      </c>
      <c r="G847" s="678">
        <v>220</v>
      </c>
      <c r="H847" s="684">
        <v>1520</v>
      </c>
      <c r="J847" s="668" t="str">
        <f t="shared" si="134"/>
        <v>(2) FICA</v>
      </c>
      <c r="L847" s="668">
        <v>90</v>
      </c>
      <c r="M847" s="669">
        <v>85</v>
      </c>
      <c r="N847" s="668"/>
      <c r="O847" s="668">
        <v>11</v>
      </c>
      <c r="P847" s="668" t="str">
        <f>IFERROR(VLOOKUP(F847, [2]MOE!B:C, 2, FALSE), "No")</f>
        <v>No</v>
      </c>
      <c r="Q847" s="711" t="s">
        <v>1004</v>
      </c>
      <c r="S847" s="670" t="s">
        <v>1681</v>
      </c>
      <c r="T847" s="668" t="s">
        <v>1068</v>
      </c>
    </row>
    <row r="848" spans="1:20">
      <c r="A848" s="679">
        <v>2251520</v>
      </c>
      <c r="B848" s="677"/>
      <c r="C848" s="672"/>
      <c r="D848" s="672"/>
      <c r="E848" s="676" t="s">
        <v>1163</v>
      </c>
      <c r="F848" s="683" t="s">
        <v>1708</v>
      </c>
      <c r="G848" s="678">
        <v>225</v>
      </c>
      <c r="H848" s="684">
        <v>1520</v>
      </c>
      <c r="J848" s="668" t="str">
        <f t="shared" si="134"/>
        <v>(3) Medicare</v>
      </c>
      <c r="L848" s="668">
        <v>91</v>
      </c>
      <c r="M848" s="669">
        <v>86</v>
      </c>
      <c r="N848" s="668"/>
      <c r="O848" s="668">
        <v>11</v>
      </c>
      <c r="P848" s="668" t="str">
        <f>IFERROR(VLOOKUP(F848, [2]MOE!B:C, 2, FALSE), "No")</f>
        <v>No</v>
      </c>
      <c r="Q848" s="711" t="s">
        <v>1004</v>
      </c>
      <c r="S848" s="670" t="s">
        <v>1681</v>
      </c>
      <c r="T848" s="668" t="s">
        <v>23</v>
      </c>
    </row>
    <row r="849" spans="1:20">
      <c r="A849" s="671"/>
      <c r="B849" s="677"/>
      <c r="C849" s="672"/>
      <c r="D849" s="672"/>
      <c r="E849" s="676" t="s">
        <v>1165</v>
      </c>
      <c r="F849" s="675"/>
      <c r="G849" s="672"/>
      <c r="H849" s="676"/>
      <c r="Q849" s="711"/>
      <c r="S849" s="670"/>
    </row>
    <row r="850" spans="1:20">
      <c r="A850" s="679">
        <v>2311520</v>
      </c>
      <c r="B850" s="677"/>
      <c r="C850" s="672"/>
      <c r="D850" s="672"/>
      <c r="E850" s="676" t="s">
        <v>1166</v>
      </c>
      <c r="F850" s="683" t="s">
        <v>1709</v>
      </c>
      <c r="G850" s="678">
        <v>231</v>
      </c>
      <c r="H850" s="684">
        <v>1520</v>
      </c>
      <c r="J850" s="668" t="str">
        <f t="shared" ref="J850:J858" si="135">E850</f>
        <v>(a) Louisiana Teachers Retirement</v>
      </c>
      <c r="L850" s="668">
        <v>92</v>
      </c>
      <c r="M850" s="669">
        <v>87</v>
      </c>
      <c r="N850" s="668"/>
      <c r="O850" s="668">
        <v>11</v>
      </c>
      <c r="P850" s="668" t="str">
        <f>IFERROR(VLOOKUP(F850, [2]MOE!B:C, 2, FALSE), "No")</f>
        <v>No</v>
      </c>
      <c r="Q850" s="711" t="s">
        <v>1004</v>
      </c>
      <c r="S850" s="670" t="s">
        <v>1681</v>
      </c>
      <c r="T850" s="668" t="s">
        <v>1074</v>
      </c>
    </row>
    <row r="851" spans="1:20">
      <c r="A851" s="679">
        <v>2331520</v>
      </c>
      <c r="B851" s="677"/>
      <c r="C851" s="672"/>
      <c r="D851" s="672"/>
      <c r="E851" s="676" t="s">
        <v>1168</v>
      </c>
      <c r="F851" s="683" t="s">
        <v>1710</v>
      </c>
      <c r="G851" s="678">
        <v>233</v>
      </c>
      <c r="H851" s="684">
        <v>1520</v>
      </c>
      <c r="J851" s="668" t="str">
        <f t="shared" si="135"/>
        <v>(b) Louisiana School Emp. Retirement</v>
      </c>
      <c r="L851" s="668">
        <v>92</v>
      </c>
      <c r="M851" s="669">
        <v>87</v>
      </c>
      <c r="N851" s="668"/>
      <c r="O851" s="668">
        <v>11</v>
      </c>
      <c r="P851" s="668" t="str">
        <f>IFERROR(VLOOKUP(F851, [2]MOE!B:C, 2, FALSE), "No")</f>
        <v>No</v>
      </c>
      <c r="Q851" s="711" t="s">
        <v>1004</v>
      </c>
      <c r="S851" s="670" t="s">
        <v>1681</v>
      </c>
      <c r="T851" s="668" t="s">
        <v>1170</v>
      </c>
    </row>
    <row r="852" spans="1:20">
      <c r="A852" s="679">
        <v>2391520</v>
      </c>
      <c r="B852" s="719"/>
      <c r="C852" s="681"/>
      <c r="D852" s="681"/>
      <c r="E852" s="686" t="s">
        <v>1171</v>
      </c>
      <c r="F852" s="680" t="s">
        <v>1711</v>
      </c>
      <c r="G852" s="710">
        <v>239</v>
      </c>
      <c r="H852" s="682">
        <v>1520</v>
      </c>
      <c r="J852" s="668" t="str">
        <f t="shared" si="135"/>
        <v>(c) Other Retirement</v>
      </c>
      <c r="L852" s="668">
        <v>92</v>
      </c>
      <c r="M852" s="669">
        <v>87</v>
      </c>
      <c r="N852" s="668"/>
      <c r="O852" s="668">
        <v>11</v>
      </c>
      <c r="P852" s="668" t="str">
        <f>IFERROR(VLOOKUP(F852, [2]MOE!B:C, 2, FALSE), "No")</f>
        <v>No</v>
      </c>
      <c r="Q852" s="711" t="s">
        <v>1004</v>
      </c>
      <c r="S852" s="670" t="s">
        <v>1681</v>
      </c>
      <c r="T852" s="668" t="s">
        <v>1080</v>
      </c>
    </row>
    <row r="853" spans="1:20">
      <c r="A853" s="679">
        <v>2501520</v>
      </c>
      <c r="B853" s="677"/>
      <c r="C853" s="672"/>
      <c r="D853" s="672"/>
      <c r="E853" s="676" t="s">
        <v>1173</v>
      </c>
      <c r="F853" s="683" t="s">
        <v>1712</v>
      </c>
      <c r="G853" s="678">
        <v>250</v>
      </c>
      <c r="H853" s="684">
        <v>1520</v>
      </c>
      <c r="J853" s="668" t="str">
        <f t="shared" si="135"/>
        <v>(5) Unemployment Compensation</v>
      </c>
      <c r="L853" s="668">
        <v>93</v>
      </c>
      <c r="M853" s="669">
        <v>88</v>
      </c>
      <c r="N853" s="668"/>
      <c r="O853" s="668">
        <v>11</v>
      </c>
      <c r="P853" s="668" t="str">
        <f>IFERROR(VLOOKUP(F853, [2]MOE!B:C, 2, FALSE), "No")</f>
        <v>No</v>
      </c>
      <c r="Q853" s="711" t="s">
        <v>1004</v>
      </c>
      <c r="S853" s="670" t="s">
        <v>1681</v>
      </c>
      <c r="T853" s="668" t="s">
        <v>1081</v>
      </c>
    </row>
    <row r="854" spans="1:20">
      <c r="A854" s="679">
        <v>2601520</v>
      </c>
      <c r="B854" s="677"/>
      <c r="C854" s="672"/>
      <c r="D854" s="672"/>
      <c r="E854" s="676" t="s">
        <v>1175</v>
      </c>
      <c r="F854" s="683" t="s">
        <v>1713</v>
      </c>
      <c r="G854" s="678">
        <v>260</v>
      </c>
      <c r="H854" s="684">
        <v>1520</v>
      </c>
      <c r="J854" s="668" t="str">
        <f t="shared" si="135"/>
        <v>(6) Workmen's Compensation</v>
      </c>
      <c r="L854" s="668">
        <v>95</v>
      </c>
      <c r="M854" s="669">
        <v>90</v>
      </c>
      <c r="N854" s="668"/>
      <c r="O854" s="668">
        <v>11</v>
      </c>
      <c r="P854" s="668" t="str">
        <f>IFERROR(VLOOKUP(F854, [2]MOE!B:C, 2, FALSE), "No")</f>
        <v>No</v>
      </c>
      <c r="Q854" s="711" t="s">
        <v>1004</v>
      </c>
      <c r="S854" s="670" t="s">
        <v>1681</v>
      </c>
      <c r="T854" s="668" t="s">
        <v>1083</v>
      </c>
    </row>
    <row r="855" spans="1:20">
      <c r="A855" s="679">
        <v>2701520</v>
      </c>
      <c r="B855" s="677"/>
      <c r="C855" s="672"/>
      <c r="D855" s="672"/>
      <c r="E855" s="676" t="s">
        <v>1177</v>
      </c>
      <c r="F855" s="683" t="s">
        <v>1714</v>
      </c>
      <c r="G855" s="678">
        <v>270</v>
      </c>
      <c r="H855" s="684">
        <v>1520</v>
      </c>
      <c r="J855" s="668" t="str">
        <f t="shared" si="135"/>
        <v>(7) Health Benefits (retirees)</v>
      </c>
      <c r="L855" s="668">
        <v>94</v>
      </c>
      <c r="M855" s="669">
        <v>89</v>
      </c>
      <c r="N855" s="668"/>
      <c r="O855" s="668">
        <v>11</v>
      </c>
      <c r="P855" s="668" t="str">
        <f>IFERROR(VLOOKUP(F855, [2]MOE!B:C, 2, FALSE), "No")</f>
        <v>No</v>
      </c>
      <c r="Q855" s="711" t="s">
        <v>1004</v>
      </c>
      <c r="S855" s="670" t="s">
        <v>1681</v>
      </c>
      <c r="T855" s="668" t="s">
        <v>1085</v>
      </c>
    </row>
    <row r="856" spans="1:20">
      <c r="A856" s="679">
        <v>2811520</v>
      </c>
      <c r="B856" s="677"/>
      <c r="C856" s="672"/>
      <c r="D856" s="672"/>
      <c r="E856" s="676" t="s">
        <v>1179</v>
      </c>
      <c r="F856" s="683" t="s">
        <v>1715</v>
      </c>
      <c r="G856" s="678">
        <v>281</v>
      </c>
      <c r="H856" s="684">
        <v>1520</v>
      </c>
      <c r="J856" s="668" t="str">
        <f t="shared" si="135"/>
        <v>(8) Sick Leave Severance Pay</v>
      </c>
      <c r="L856" s="668">
        <v>95</v>
      </c>
      <c r="M856" s="669">
        <v>90</v>
      </c>
      <c r="N856" s="668"/>
      <c r="O856" s="668">
        <v>11</v>
      </c>
      <c r="P856" s="668" t="str">
        <f>IFERROR(VLOOKUP(F856, [2]MOE!B:C, 2, FALSE), "No")</f>
        <v>No</v>
      </c>
      <c r="Q856" s="711" t="s">
        <v>1004</v>
      </c>
      <c r="S856" s="670" t="s">
        <v>1681</v>
      </c>
      <c r="T856" s="668" t="s">
        <v>1087</v>
      </c>
    </row>
    <row r="857" spans="1:20">
      <c r="A857" s="679">
        <v>2821520</v>
      </c>
      <c r="B857" s="677"/>
      <c r="C857" s="672"/>
      <c r="D857" s="672"/>
      <c r="E857" s="676" t="s">
        <v>1181</v>
      </c>
      <c r="F857" s="683" t="s">
        <v>1716</v>
      </c>
      <c r="G857" s="678">
        <v>282</v>
      </c>
      <c r="H857" s="684">
        <v>1520</v>
      </c>
      <c r="J857" s="668" t="str">
        <f t="shared" si="135"/>
        <v>(9) Annual Leave Severance Pay</v>
      </c>
      <c r="L857" s="668">
        <v>95</v>
      </c>
      <c r="M857" s="669">
        <v>90</v>
      </c>
      <c r="N857" s="668"/>
      <c r="O857" s="668">
        <v>11</v>
      </c>
      <c r="P857" s="668" t="str">
        <f>IFERROR(VLOOKUP(F857, [2]MOE!B:C, 2, FALSE), "No")</f>
        <v>No</v>
      </c>
      <c r="Q857" s="711" t="s">
        <v>1004</v>
      </c>
      <c r="S857" s="670" t="s">
        <v>1681</v>
      </c>
      <c r="T857" s="668" t="s">
        <v>1089</v>
      </c>
    </row>
    <row r="858" spans="1:20">
      <c r="A858" s="679">
        <v>2901520</v>
      </c>
      <c r="B858" s="677"/>
      <c r="C858" s="672"/>
      <c r="D858" s="672"/>
      <c r="E858" s="676" t="s">
        <v>1183</v>
      </c>
      <c r="F858" s="683" t="s">
        <v>1717</v>
      </c>
      <c r="G858" s="678">
        <v>290</v>
      </c>
      <c r="H858" s="684">
        <v>1520</v>
      </c>
      <c r="J858" s="668" t="str">
        <f t="shared" si="135"/>
        <v>(10) Other Employee Benefits</v>
      </c>
      <c r="L858" s="668">
        <v>95</v>
      </c>
      <c r="M858" s="669">
        <v>90</v>
      </c>
      <c r="N858" s="668"/>
      <c r="O858" s="668">
        <v>11</v>
      </c>
      <c r="P858" s="668" t="str">
        <f>IFERROR(VLOOKUP(F858, [2]MOE!B:C, 2, FALSE), "No")</f>
        <v>No</v>
      </c>
      <c r="Q858" s="711" t="s">
        <v>1004</v>
      </c>
      <c r="S858" s="670" t="s">
        <v>1681</v>
      </c>
      <c r="T858" s="668" t="s">
        <v>1092</v>
      </c>
    </row>
    <row r="859" spans="1:20">
      <c r="A859" s="671"/>
      <c r="B859" s="677"/>
      <c r="C859" s="678">
        <v>29</v>
      </c>
      <c r="D859" s="927" t="s">
        <v>1718</v>
      </c>
      <c r="E859" s="926"/>
      <c r="F859" s="675"/>
      <c r="G859" s="672"/>
      <c r="H859" s="676"/>
      <c r="Q859" s="711"/>
      <c r="S859" s="670"/>
    </row>
    <row r="860" spans="1:20">
      <c r="A860" s="671"/>
      <c r="B860" s="677"/>
      <c r="C860" s="672"/>
      <c r="D860" s="927" t="s">
        <v>1719</v>
      </c>
      <c r="E860" s="926"/>
      <c r="F860" s="675"/>
      <c r="G860" s="672"/>
      <c r="H860" s="676"/>
      <c r="Q860" s="711"/>
      <c r="S860" s="670"/>
    </row>
    <row r="861" spans="1:20">
      <c r="A861" s="671"/>
      <c r="B861" s="677"/>
      <c r="C861" s="672"/>
      <c r="D861" s="672" t="s">
        <v>759</v>
      </c>
      <c r="E861" s="676" t="s">
        <v>244</v>
      </c>
      <c r="F861" s="675"/>
      <c r="G861" s="672"/>
      <c r="H861" s="676"/>
      <c r="Q861" s="711"/>
      <c r="S861" s="670"/>
    </row>
    <row r="862" spans="1:20">
      <c r="A862" s="679">
        <v>1121530</v>
      </c>
      <c r="B862" s="677"/>
      <c r="C862" s="672"/>
      <c r="D862" s="672"/>
      <c r="E862" s="676" t="s">
        <v>1098</v>
      </c>
      <c r="F862" s="680" t="s">
        <v>1720</v>
      </c>
      <c r="G862" s="710">
        <v>112</v>
      </c>
      <c r="H862" s="682">
        <v>1530</v>
      </c>
      <c r="J862" s="668" t="str">
        <f t="shared" ref="J862:J868" si="136">E862</f>
        <v>(1) Teachers</v>
      </c>
      <c r="L862" s="668">
        <v>82</v>
      </c>
      <c r="M862" s="669">
        <v>77</v>
      </c>
      <c r="N862" s="668"/>
      <c r="O862" s="668">
        <v>11</v>
      </c>
      <c r="P862" s="668" t="str">
        <f>IFERROR(VLOOKUP(F862, [2]MOE!B:C, 2, FALSE), "No")</f>
        <v>No</v>
      </c>
      <c r="Q862" s="711" t="s">
        <v>1004</v>
      </c>
      <c r="S862" s="670" t="s">
        <v>1721</v>
      </c>
      <c r="T862" s="668" t="s">
        <v>5</v>
      </c>
    </row>
    <row r="863" spans="1:20">
      <c r="A863" s="679">
        <v>1151530</v>
      </c>
      <c r="B863" s="677"/>
      <c r="C863" s="672"/>
      <c r="D863" s="672"/>
      <c r="E863" s="676" t="s">
        <v>1100</v>
      </c>
      <c r="F863" s="680" t="s">
        <v>1722</v>
      </c>
      <c r="G863" s="710">
        <v>115</v>
      </c>
      <c r="H863" s="682">
        <v>1530</v>
      </c>
      <c r="J863" s="668" t="str">
        <f t="shared" si="136"/>
        <v>(2) Para-professionals (Aides)</v>
      </c>
      <c r="L863" s="668">
        <v>86</v>
      </c>
      <c r="M863" s="669">
        <v>81</v>
      </c>
      <c r="N863" s="668"/>
      <c r="O863" s="668">
        <v>11</v>
      </c>
      <c r="P863" s="668" t="str">
        <f>IFERROR(VLOOKUP(F863, [2]MOE!B:C, 2, FALSE), "No")</f>
        <v>No</v>
      </c>
      <c r="Q863" s="711" t="s">
        <v>1004</v>
      </c>
      <c r="S863" s="670" t="s">
        <v>1721</v>
      </c>
      <c r="T863" s="668" t="s">
        <v>1102</v>
      </c>
    </row>
    <row r="864" spans="1:20">
      <c r="A864" s="679">
        <v>1231530</v>
      </c>
      <c r="B864" s="677"/>
      <c r="C864" s="672"/>
      <c r="D864" s="672"/>
      <c r="E864" s="676" t="s">
        <v>1103</v>
      </c>
      <c r="F864" s="680" t="s">
        <v>1723</v>
      </c>
      <c r="G864" s="710">
        <v>123</v>
      </c>
      <c r="H864" s="682">
        <v>1530</v>
      </c>
      <c r="J864" s="668" t="str">
        <f t="shared" si="136"/>
        <v>(3) Substitute Teachers</v>
      </c>
      <c r="L864" s="668">
        <v>86</v>
      </c>
      <c r="M864" s="669">
        <v>81</v>
      </c>
      <c r="N864" s="668"/>
      <c r="O864" s="668">
        <v>11</v>
      </c>
      <c r="P864" s="668" t="str">
        <f>IFERROR(VLOOKUP(F864, [2]MOE!B:C, 2, FALSE), "No")</f>
        <v>No</v>
      </c>
      <c r="Q864" s="711" t="s">
        <v>1004</v>
      </c>
      <c r="S864" s="670" t="s">
        <v>1721</v>
      </c>
      <c r="T864" s="668" t="s">
        <v>1105</v>
      </c>
    </row>
    <row r="865" spans="1:20">
      <c r="A865" s="679">
        <v>1201530</v>
      </c>
      <c r="B865" s="677"/>
      <c r="C865" s="672"/>
      <c r="D865" s="672"/>
      <c r="E865" s="676" t="s">
        <v>1106</v>
      </c>
      <c r="F865" s="680" t="s">
        <v>1724</v>
      </c>
      <c r="G865" s="710">
        <v>120</v>
      </c>
      <c r="H865" s="682">
        <v>1530</v>
      </c>
      <c r="J865" s="668" t="str">
        <f t="shared" si="136"/>
        <v>(4) Other Substitute/Temp. Employees</v>
      </c>
      <c r="L865" s="668">
        <v>86</v>
      </c>
      <c r="M865" s="669">
        <v>81</v>
      </c>
      <c r="N865" s="668"/>
      <c r="O865" s="668">
        <v>11</v>
      </c>
      <c r="P865" s="668" t="str">
        <f>IFERROR(VLOOKUP(F865, [2]MOE!B:C, 2, FALSE), "No")</f>
        <v>No</v>
      </c>
      <c r="Q865" s="711" t="s">
        <v>1004</v>
      </c>
      <c r="S865" s="670" t="s">
        <v>1721</v>
      </c>
      <c r="T865" s="668" t="s">
        <v>1108</v>
      </c>
    </row>
    <row r="866" spans="1:20">
      <c r="A866" s="679">
        <v>1001530</v>
      </c>
      <c r="B866" s="677"/>
      <c r="C866" s="672"/>
      <c r="D866" s="672"/>
      <c r="E866" s="676" t="s">
        <v>1109</v>
      </c>
      <c r="F866" s="680" t="s">
        <v>1725</v>
      </c>
      <c r="G866" s="710">
        <v>100</v>
      </c>
      <c r="H866" s="682">
        <v>1530</v>
      </c>
      <c r="J866" s="668" t="str">
        <f t="shared" si="136"/>
        <v>(5) Other Instructional Salaries</v>
      </c>
      <c r="L866" s="668">
        <v>86</v>
      </c>
      <c r="M866" s="669">
        <v>81</v>
      </c>
      <c r="N866" s="668"/>
      <c r="O866" s="668">
        <v>11</v>
      </c>
      <c r="P866" s="668" t="str">
        <f>IFERROR(VLOOKUP(F866, [2]MOE!B:C, 2, FALSE), "No")</f>
        <v>No</v>
      </c>
      <c r="Q866" s="711" t="s">
        <v>1004</v>
      </c>
      <c r="S866" s="670" t="s">
        <v>1721</v>
      </c>
      <c r="T866" s="668" t="s">
        <v>1017</v>
      </c>
    </row>
    <row r="867" spans="1:20">
      <c r="A867" s="679">
        <v>1401530</v>
      </c>
      <c r="B867" s="677"/>
      <c r="C867" s="672"/>
      <c r="D867" s="672"/>
      <c r="E867" s="676" t="s">
        <v>1111</v>
      </c>
      <c r="F867" s="680" t="s">
        <v>1726</v>
      </c>
      <c r="G867" s="710">
        <v>140</v>
      </c>
      <c r="H867" s="682">
        <v>1530</v>
      </c>
      <c r="J867" s="668" t="str">
        <f t="shared" si="136"/>
        <v>(6) Sabbatical Leave</v>
      </c>
      <c r="L867" s="668">
        <v>86</v>
      </c>
      <c r="M867" s="669">
        <v>81</v>
      </c>
      <c r="N867" s="668"/>
      <c r="O867" s="668">
        <v>11</v>
      </c>
      <c r="P867" s="668" t="str">
        <f>IFERROR(VLOOKUP(F867, [2]MOE!B:C, 2, FALSE), "No")</f>
        <v>No</v>
      </c>
      <c r="Q867" s="711" t="s">
        <v>1004</v>
      </c>
      <c r="S867" s="670" t="s">
        <v>1721</v>
      </c>
      <c r="T867" s="668" t="s">
        <v>1019</v>
      </c>
    </row>
    <row r="868" spans="1:20">
      <c r="A868" s="679">
        <v>3001530</v>
      </c>
      <c r="B868" s="677"/>
      <c r="C868" s="672"/>
      <c r="D868" s="672" t="s">
        <v>777</v>
      </c>
      <c r="E868" s="676" t="s">
        <v>1113</v>
      </c>
      <c r="F868" s="680" t="s">
        <v>1727</v>
      </c>
      <c r="G868" s="710">
        <v>300</v>
      </c>
      <c r="H868" s="682">
        <v>1530</v>
      </c>
      <c r="J868" s="668" t="str">
        <f t="shared" si="136"/>
        <v>Purchased Professional and Technical Svcs</v>
      </c>
      <c r="L868" s="668">
        <v>101</v>
      </c>
      <c r="M868" s="669">
        <v>96</v>
      </c>
      <c r="N868" s="668"/>
      <c r="O868" s="668">
        <v>11</v>
      </c>
      <c r="P868" s="668" t="str">
        <f>IFERROR(VLOOKUP(F868, [2]MOE!B:C, 2, FALSE), "No")</f>
        <v>No</v>
      </c>
      <c r="Q868" s="711"/>
      <c r="S868" s="670" t="s">
        <v>1721</v>
      </c>
      <c r="T868" s="668" t="s">
        <v>1113</v>
      </c>
    </row>
    <row r="869" spans="1:20">
      <c r="A869" s="671"/>
      <c r="B869" s="677"/>
      <c r="C869" s="672"/>
      <c r="D869" s="672" t="s">
        <v>801</v>
      </c>
      <c r="E869" s="676" t="s">
        <v>250</v>
      </c>
      <c r="F869" s="722"/>
      <c r="G869" s="672"/>
      <c r="H869" s="676"/>
      <c r="Q869" s="711"/>
      <c r="S869" s="670"/>
    </row>
    <row r="870" spans="1:20">
      <c r="A870" s="679">
        <v>4301530</v>
      </c>
      <c r="B870" s="677"/>
      <c r="C870" s="672"/>
      <c r="D870" s="672"/>
      <c r="E870" s="676" t="s">
        <v>1115</v>
      </c>
      <c r="F870" s="680" t="s">
        <v>1728</v>
      </c>
      <c r="G870" s="710">
        <v>430</v>
      </c>
      <c r="H870" s="682">
        <v>1530</v>
      </c>
      <c r="J870" s="668" t="str">
        <f t="shared" ref="J870:J872" si="137">E870</f>
        <v>(1) Repairs and Maintenance Services</v>
      </c>
      <c r="L870" s="668">
        <v>107</v>
      </c>
      <c r="M870" s="669">
        <v>102</v>
      </c>
      <c r="N870" s="668"/>
      <c r="O870" s="668">
        <v>11</v>
      </c>
      <c r="P870" s="668" t="str">
        <f>IFERROR(VLOOKUP(F870, [2]MOE!B:C, 2, FALSE), "No")</f>
        <v>No</v>
      </c>
      <c r="Q870" s="711"/>
      <c r="S870" s="670" t="s">
        <v>1721</v>
      </c>
      <c r="T870" s="668" t="s">
        <v>1023</v>
      </c>
    </row>
    <row r="871" spans="1:20">
      <c r="A871" s="679">
        <v>4421530</v>
      </c>
      <c r="B871" s="677"/>
      <c r="C871" s="672"/>
      <c r="D871" s="672"/>
      <c r="E871" s="676" t="s">
        <v>1117</v>
      </c>
      <c r="F871" s="680" t="s">
        <v>1729</v>
      </c>
      <c r="G871" s="710">
        <v>442</v>
      </c>
      <c r="H871" s="682">
        <v>1530</v>
      </c>
      <c r="J871" s="668" t="str">
        <f t="shared" si="137"/>
        <v>(2) Rental of Equipment</v>
      </c>
      <c r="L871" s="668">
        <v>106</v>
      </c>
      <c r="M871" s="669">
        <v>101</v>
      </c>
      <c r="N871" s="668"/>
      <c r="O871" s="668">
        <v>11</v>
      </c>
      <c r="P871" s="668" t="str">
        <f>IFERROR(VLOOKUP(F871, [2]MOE!B:C, 2, FALSE), "No")</f>
        <v>No</v>
      </c>
      <c r="Q871" s="711"/>
      <c r="S871" s="670" t="s">
        <v>1721</v>
      </c>
      <c r="T871" s="668" t="s">
        <v>1025</v>
      </c>
    </row>
    <row r="872" spans="1:20">
      <c r="A872" s="679">
        <v>4001530</v>
      </c>
      <c r="B872" s="677"/>
      <c r="C872" s="672"/>
      <c r="D872" s="672"/>
      <c r="E872" s="676" t="s">
        <v>1119</v>
      </c>
      <c r="F872" s="680" t="s">
        <v>1730</v>
      </c>
      <c r="G872" s="710">
        <v>400</v>
      </c>
      <c r="H872" s="682">
        <v>1530</v>
      </c>
      <c r="J872" s="668" t="str">
        <f t="shared" si="137"/>
        <v>(3) Other Purchased Property Services</v>
      </c>
      <c r="L872" s="668">
        <v>108</v>
      </c>
      <c r="M872" s="669">
        <v>103</v>
      </c>
      <c r="N872" s="668"/>
      <c r="O872" s="668">
        <v>11</v>
      </c>
      <c r="P872" s="668" t="str">
        <f>IFERROR(VLOOKUP(F872, [2]MOE!B:C, 2, FALSE), "No")</f>
        <v>No</v>
      </c>
      <c r="Q872" s="711"/>
      <c r="S872" s="670" t="s">
        <v>1721</v>
      </c>
      <c r="T872" s="668" t="s">
        <v>1027</v>
      </c>
    </row>
    <row r="873" spans="1:20">
      <c r="A873" s="671"/>
      <c r="B873" s="677"/>
      <c r="C873" s="672"/>
      <c r="D873" s="672" t="s">
        <v>805</v>
      </c>
      <c r="E873" s="676" t="s">
        <v>252</v>
      </c>
      <c r="F873" s="675"/>
      <c r="G873" s="672"/>
      <c r="H873" s="676"/>
      <c r="Q873" s="711"/>
      <c r="S873" s="670"/>
    </row>
    <row r="874" spans="1:20">
      <c r="A874" s="671"/>
      <c r="B874" s="677"/>
      <c r="C874" s="672"/>
      <c r="D874" s="672"/>
      <c r="E874" s="676" t="s">
        <v>1121</v>
      </c>
      <c r="F874" s="675"/>
      <c r="G874" s="672"/>
      <c r="H874" s="676"/>
      <c r="Q874" s="711"/>
      <c r="S874" s="670"/>
    </row>
    <row r="875" spans="1:20">
      <c r="A875" s="679">
        <v>5611530</v>
      </c>
      <c r="B875" s="677"/>
      <c r="C875" s="672"/>
      <c r="D875" s="672"/>
      <c r="E875" s="676" t="s">
        <v>1122</v>
      </c>
      <c r="F875" s="683" t="s">
        <v>1731</v>
      </c>
      <c r="G875" s="678">
        <v>561</v>
      </c>
      <c r="H875" s="684">
        <v>1530</v>
      </c>
      <c r="J875" s="668" t="str">
        <f t="shared" ref="J875:J879" si="138">E875</f>
        <v>(a) Paid to Other LEA (In-State)</v>
      </c>
      <c r="L875" s="668">
        <v>119</v>
      </c>
      <c r="M875" s="669">
        <v>110</v>
      </c>
      <c r="N875" s="668"/>
      <c r="O875" s="668">
        <v>11</v>
      </c>
      <c r="P875" s="668" t="str">
        <f>IFERROR(VLOOKUP(F875, [2]MOE!B:C, 2, FALSE), "No")</f>
        <v>No</v>
      </c>
      <c r="Q875" s="711"/>
      <c r="S875" s="670" t="s">
        <v>1721</v>
      </c>
      <c r="T875" s="668" t="s">
        <v>1032</v>
      </c>
    </row>
    <row r="876" spans="1:20">
      <c r="A876" s="679">
        <v>5621530</v>
      </c>
      <c r="B876" s="677"/>
      <c r="C876" s="672"/>
      <c r="D876" s="672"/>
      <c r="E876" s="676" t="s">
        <v>1124</v>
      </c>
      <c r="F876" s="683" t="s">
        <v>1732</v>
      </c>
      <c r="G876" s="678">
        <v>562</v>
      </c>
      <c r="H876" s="684">
        <v>1530</v>
      </c>
      <c r="J876" s="668" t="str">
        <f t="shared" si="138"/>
        <v>(b) Paid to Other LEA (Out-of-State)</v>
      </c>
      <c r="L876" s="668">
        <v>119</v>
      </c>
      <c r="M876" s="669">
        <v>110</v>
      </c>
      <c r="N876" s="668"/>
      <c r="O876" s="668">
        <v>11</v>
      </c>
      <c r="P876" s="668" t="str">
        <f>IFERROR(VLOOKUP(F876, [2]MOE!B:C, 2, FALSE), "No")</f>
        <v>No</v>
      </c>
      <c r="Q876" s="711"/>
      <c r="S876" s="670" t="s">
        <v>1721</v>
      </c>
      <c r="T876" s="668" t="s">
        <v>1035</v>
      </c>
    </row>
    <row r="877" spans="1:20">
      <c r="A877" s="679">
        <v>5631530</v>
      </c>
      <c r="B877" s="677"/>
      <c r="C877" s="672"/>
      <c r="D877" s="672"/>
      <c r="E877" s="676" t="s">
        <v>1305</v>
      </c>
      <c r="F877" s="683" t="s">
        <v>1733</v>
      </c>
      <c r="G877" s="678">
        <v>563</v>
      </c>
      <c r="H877" s="684">
        <v>1530</v>
      </c>
      <c r="J877" s="668" t="str">
        <f t="shared" si="138"/>
        <v>(c) Paid to Private Sources</v>
      </c>
      <c r="L877" s="668">
        <v>119</v>
      </c>
      <c r="M877" s="669">
        <v>110</v>
      </c>
      <c r="N877" s="668"/>
      <c r="O877" s="668">
        <v>11</v>
      </c>
      <c r="P877" s="668" t="str">
        <f>IFERROR(VLOOKUP(F877, [2]MOE!B:C, 2, FALSE), "No")</f>
        <v>No</v>
      </c>
      <c r="Q877" s="711"/>
      <c r="S877" s="670" t="s">
        <v>1721</v>
      </c>
      <c r="T877" s="668" t="s">
        <v>1038</v>
      </c>
    </row>
    <row r="878" spans="1:20">
      <c r="A878" s="679">
        <v>5821530</v>
      </c>
      <c r="B878" s="677"/>
      <c r="C878" s="672"/>
      <c r="D878" s="672"/>
      <c r="E878" s="676" t="s">
        <v>1135</v>
      </c>
      <c r="F878" s="683" t="s">
        <v>1734</v>
      </c>
      <c r="G878" s="678">
        <v>582</v>
      </c>
      <c r="H878" s="684">
        <v>1530</v>
      </c>
      <c r="J878" s="668" t="str">
        <f t="shared" si="138"/>
        <v>(2) Travel Expense Reimbursement</v>
      </c>
      <c r="L878" s="668">
        <v>118</v>
      </c>
      <c r="M878" s="669">
        <v>109</v>
      </c>
      <c r="N878" s="668"/>
      <c r="O878" s="668">
        <v>11</v>
      </c>
      <c r="P878" s="668" t="str">
        <f>IFERROR(VLOOKUP(F878, [2]MOE!B:C, 2, FALSE), "No")</f>
        <v>No</v>
      </c>
      <c r="Q878" s="711"/>
      <c r="S878" s="670" t="s">
        <v>1721</v>
      </c>
      <c r="T878" s="668" t="s">
        <v>1039</v>
      </c>
    </row>
    <row r="879" spans="1:20">
      <c r="A879" s="679">
        <v>5001530</v>
      </c>
      <c r="B879" s="677"/>
      <c r="C879" s="672"/>
      <c r="D879" s="672"/>
      <c r="E879" s="676" t="s">
        <v>1137</v>
      </c>
      <c r="F879" s="683" t="s">
        <v>1735</v>
      </c>
      <c r="G879" s="678">
        <v>500</v>
      </c>
      <c r="H879" s="684">
        <v>1530</v>
      </c>
      <c r="J879" s="668" t="str">
        <f t="shared" si="138"/>
        <v>(3) Other Purchased Services</v>
      </c>
      <c r="L879" s="668">
        <v>119</v>
      </c>
      <c r="M879" s="669">
        <v>110</v>
      </c>
      <c r="N879" s="668"/>
      <c r="O879" s="668">
        <v>11</v>
      </c>
      <c r="P879" s="668" t="str">
        <f>IFERROR(VLOOKUP(F879, [2]MOE!B:C, 2, FALSE), "No")</f>
        <v>No</v>
      </c>
      <c r="Q879" s="711"/>
      <c r="S879" s="670" t="s">
        <v>1721</v>
      </c>
      <c r="T879" s="668" t="s">
        <v>252</v>
      </c>
    </row>
    <row r="880" spans="1:20">
      <c r="A880" s="671"/>
      <c r="B880" s="677"/>
      <c r="C880" s="672"/>
      <c r="D880" s="672" t="s">
        <v>850</v>
      </c>
      <c r="E880" s="676" t="s">
        <v>1042</v>
      </c>
      <c r="F880" s="675"/>
      <c r="G880" s="672"/>
      <c r="H880" s="676"/>
      <c r="Q880" s="711"/>
      <c r="S880" s="670"/>
    </row>
    <row r="881" spans="1:20">
      <c r="A881" s="679">
        <v>6151530</v>
      </c>
      <c r="B881" s="677"/>
      <c r="C881" s="672"/>
      <c r="D881" s="672"/>
      <c r="E881" s="676" t="s">
        <v>1139</v>
      </c>
      <c r="F881" s="680" t="s">
        <v>1736</v>
      </c>
      <c r="G881" s="710">
        <v>615</v>
      </c>
      <c r="H881" s="682">
        <v>1530</v>
      </c>
      <c r="J881" s="668" t="str">
        <f t="shared" ref="J881:J884" si="139">E881</f>
        <v>(1) Technology-Related Supplies</v>
      </c>
      <c r="L881" s="668">
        <v>126</v>
      </c>
      <c r="M881" s="669">
        <v>117</v>
      </c>
      <c r="N881" s="668"/>
      <c r="O881" s="668">
        <v>11</v>
      </c>
      <c r="P881" s="668" t="str">
        <f>IFERROR(VLOOKUP(F881, [2]MOE!B:C, 2, FALSE), "No")</f>
        <v>No</v>
      </c>
      <c r="Q881" s="711" t="s">
        <v>1045</v>
      </c>
      <c r="S881" s="670" t="s">
        <v>1721</v>
      </c>
      <c r="T881" s="668" t="s">
        <v>1043</v>
      </c>
    </row>
    <row r="882" spans="1:20">
      <c r="A882" s="679">
        <v>6101530</v>
      </c>
      <c r="B882" s="677"/>
      <c r="C882" s="672"/>
      <c r="D882" s="672"/>
      <c r="E882" s="676" t="s">
        <v>1141</v>
      </c>
      <c r="F882" s="680" t="s">
        <v>1737</v>
      </c>
      <c r="G882" s="710">
        <v>610</v>
      </c>
      <c r="H882" s="682">
        <v>1530</v>
      </c>
      <c r="J882" s="668" t="str">
        <f t="shared" si="139"/>
        <v>(2) Materials and Supplies</v>
      </c>
      <c r="L882" s="668">
        <v>122</v>
      </c>
      <c r="M882" s="669">
        <v>113</v>
      </c>
      <c r="N882" s="668"/>
      <c r="O882" s="668">
        <v>11</v>
      </c>
      <c r="P882" s="668" t="str">
        <f>IFERROR(VLOOKUP(F882, [2]MOE!B:C, 2, FALSE), "No")</f>
        <v>No</v>
      </c>
      <c r="Q882" s="711" t="s">
        <v>1045</v>
      </c>
      <c r="S882" s="670" t="s">
        <v>1721</v>
      </c>
      <c r="T882" s="668" t="s">
        <v>39</v>
      </c>
    </row>
    <row r="883" spans="1:20">
      <c r="A883" s="679">
        <v>6421530</v>
      </c>
      <c r="B883" s="677"/>
      <c r="C883" s="672"/>
      <c r="D883" s="672"/>
      <c r="E883" s="676" t="s">
        <v>1143</v>
      </c>
      <c r="F883" s="680" t="s">
        <v>1738</v>
      </c>
      <c r="G883" s="710">
        <v>642</v>
      </c>
      <c r="H883" s="682">
        <v>1530</v>
      </c>
      <c r="J883" s="668" t="str">
        <f t="shared" si="139"/>
        <v>(3) Textbooks/Workbooks</v>
      </c>
      <c r="L883" s="668">
        <v>125</v>
      </c>
      <c r="M883" s="669">
        <v>116</v>
      </c>
      <c r="N883" s="668"/>
      <c r="O883" s="668">
        <v>11</v>
      </c>
      <c r="P883" s="668" t="str">
        <f>IFERROR(VLOOKUP(F883, [2]MOE!B:C, 2, FALSE), "No")</f>
        <v>No</v>
      </c>
      <c r="Q883" s="711" t="s">
        <v>1045</v>
      </c>
      <c r="S883" s="670" t="s">
        <v>1721</v>
      </c>
      <c r="T883" s="668" t="s">
        <v>1048</v>
      </c>
    </row>
    <row r="884" spans="1:20">
      <c r="A884" s="679">
        <v>6001530</v>
      </c>
      <c r="B884" s="677"/>
      <c r="C884" s="672"/>
      <c r="D884" s="672"/>
      <c r="E884" s="676" t="s">
        <v>1145</v>
      </c>
      <c r="F884" s="680" t="s">
        <v>1739</v>
      </c>
      <c r="G884" s="710">
        <v>600</v>
      </c>
      <c r="H884" s="682">
        <v>1530</v>
      </c>
      <c r="J884" s="668" t="str">
        <f t="shared" si="139"/>
        <v>(4) Other Supplies</v>
      </c>
      <c r="L884" s="668">
        <v>126</v>
      </c>
      <c r="M884" s="669">
        <v>117</v>
      </c>
      <c r="N884" s="668"/>
      <c r="O884" s="668">
        <v>11</v>
      </c>
      <c r="P884" s="668" t="str">
        <f>IFERROR(VLOOKUP(F884, [2]MOE!B:C, 2, FALSE), "No")</f>
        <v>No</v>
      </c>
      <c r="Q884" s="711"/>
      <c r="S884" s="670" t="s">
        <v>1721</v>
      </c>
      <c r="T884" s="668" t="s">
        <v>1050</v>
      </c>
    </row>
    <row r="885" spans="1:20">
      <c r="A885" s="671"/>
      <c r="B885" s="677"/>
      <c r="C885" s="672"/>
      <c r="D885" s="672" t="s">
        <v>853</v>
      </c>
      <c r="E885" s="676" t="s">
        <v>1052</v>
      </c>
      <c r="F885" s="675"/>
      <c r="G885" s="672"/>
      <c r="H885" s="676"/>
      <c r="Q885" s="711"/>
      <c r="S885" s="670"/>
    </row>
    <row r="886" spans="1:20">
      <c r="A886" s="679">
        <v>7341530</v>
      </c>
      <c r="B886" s="677"/>
      <c r="C886" s="672"/>
      <c r="D886" s="672"/>
      <c r="E886" s="676" t="s">
        <v>1147</v>
      </c>
      <c r="F886" s="680" t="s">
        <v>1740</v>
      </c>
      <c r="G886" s="710">
        <v>734</v>
      </c>
      <c r="H886" s="682">
        <v>1530</v>
      </c>
      <c r="J886" s="668" t="str">
        <f t="shared" ref="J886:J889" si="140">E886</f>
        <v>(1) Technology-Related Hardware</v>
      </c>
      <c r="L886" s="668">
        <v>131</v>
      </c>
      <c r="M886" s="669">
        <v>122</v>
      </c>
      <c r="N886" s="668"/>
      <c r="O886" s="668">
        <v>11</v>
      </c>
      <c r="P886" s="668" t="str">
        <f>IFERROR(VLOOKUP(F886, [2]MOE!B:C, 2, FALSE), "No")</f>
        <v>No</v>
      </c>
      <c r="Q886" s="711"/>
      <c r="S886" s="670" t="s">
        <v>1721</v>
      </c>
      <c r="T886" s="668" t="s">
        <v>1053</v>
      </c>
    </row>
    <row r="887" spans="1:20">
      <c r="A887" s="679">
        <v>7351530</v>
      </c>
      <c r="B887" s="677"/>
      <c r="C887" s="672"/>
      <c r="D887" s="672"/>
      <c r="E887" s="676" t="s">
        <v>1149</v>
      </c>
      <c r="F887" s="680" t="s">
        <v>1741</v>
      </c>
      <c r="G887" s="710">
        <v>735</v>
      </c>
      <c r="H887" s="682">
        <v>1530</v>
      </c>
      <c r="J887" s="668" t="str">
        <f t="shared" si="140"/>
        <v>(2) Technology Software</v>
      </c>
      <c r="L887" s="668">
        <v>131</v>
      </c>
      <c r="M887" s="669">
        <v>122</v>
      </c>
      <c r="N887" s="668"/>
      <c r="O887" s="668">
        <v>11</v>
      </c>
      <c r="P887" s="668" t="str">
        <f>IFERROR(VLOOKUP(F887, [2]MOE!B:C, 2, FALSE), "No")</f>
        <v>No</v>
      </c>
      <c r="Q887" s="711"/>
      <c r="S887" s="670" t="s">
        <v>1721</v>
      </c>
      <c r="T887" s="668" t="s">
        <v>1055</v>
      </c>
    </row>
    <row r="888" spans="1:20">
      <c r="A888" s="679">
        <v>7301530</v>
      </c>
      <c r="B888" s="677"/>
      <c r="C888" s="672"/>
      <c r="D888" s="672"/>
      <c r="E888" s="676" t="s">
        <v>1151</v>
      </c>
      <c r="F888" s="680" t="s">
        <v>1742</v>
      </c>
      <c r="G888" s="710">
        <v>730</v>
      </c>
      <c r="H888" s="682">
        <v>1530</v>
      </c>
      <c r="J888" s="668" t="str">
        <f t="shared" si="140"/>
        <v>(3) All Other Equipment</v>
      </c>
      <c r="L888" s="668">
        <v>131</v>
      </c>
      <c r="M888" s="669">
        <v>122</v>
      </c>
      <c r="N888" s="668"/>
      <c r="O888" s="668">
        <v>11</v>
      </c>
      <c r="P888" s="668" t="str">
        <f>IFERROR(VLOOKUP(F888, [2]MOE!B:C, 2, FALSE), "No")</f>
        <v>No</v>
      </c>
      <c r="Q888" s="711"/>
      <c r="S888" s="670" t="s">
        <v>1721</v>
      </c>
      <c r="T888" s="668" t="s">
        <v>1057</v>
      </c>
    </row>
    <row r="889" spans="1:20">
      <c r="A889" s="679">
        <v>7001530</v>
      </c>
      <c r="B889" s="677"/>
      <c r="C889" s="672"/>
      <c r="D889" s="672"/>
      <c r="E889" s="676" t="s">
        <v>1153</v>
      </c>
      <c r="F889" s="680" t="s">
        <v>1743</v>
      </c>
      <c r="G889" s="710">
        <v>700</v>
      </c>
      <c r="H889" s="682">
        <v>1530</v>
      </c>
      <c r="J889" s="668" t="str">
        <f t="shared" si="140"/>
        <v>(4) Other Property</v>
      </c>
      <c r="L889" s="668">
        <v>132</v>
      </c>
      <c r="M889" s="669">
        <v>123</v>
      </c>
      <c r="N889" s="668"/>
      <c r="O889" s="668">
        <v>11</v>
      </c>
      <c r="P889" s="668" t="str">
        <f>IFERROR(VLOOKUP(F889, [2]MOE!B:C, 2, FALSE), "No")</f>
        <v>No</v>
      </c>
      <c r="Q889" s="711"/>
      <c r="S889" s="670" t="s">
        <v>1721</v>
      </c>
      <c r="T889" s="668" t="s">
        <v>1059</v>
      </c>
    </row>
    <row r="890" spans="1:20">
      <c r="A890" s="671"/>
      <c r="B890" s="677"/>
      <c r="C890" s="672"/>
      <c r="D890" s="672" t="s">
        <v>856</v>
      </c>
      <c r="E890" s="676" t="s">
        <v>256</v>
      </c>
      <c r="F890" s="675"/>
      <c r="G890" s="672"/>
      <c r="H890" s="676"/>
      <c r="Q890" s="711"/>
      <c r="S890" s="670"/>
    </row>
    <row r="891" spans="1:20">
      <c r="A891" s="679">
        <v>8951530</v>
      </c>
      <c r="B891" s="677"/>
      <c r="C891" s="672"/>
      <c r="D891" s="672"/>
      <c r="E891" s="676" t="s">
        <v>1155</v>
      </c>
      <c r="F891" s="683" t="s">
        <v>1744</v>
      </c>
      <c r="G891" s="678">
        <v>895</v>
      </c>
      <c r="H891" s="684">
        <v>1530</v>
      </c>
      <c r="J891" s="668" t="str">
        <f t="shared" ref="J891:J892" si="141">E891</f>
        <v>(1) Miscellaneous Non-Public Expenditures</v>
      </c>
      <c r="L891" s="668">
        <v>139</v>
      </c>
      <c r="M891" s="669">
        <v>129</v>
      </c>
      <c r="N891" s="668"/>
      <c r="O891" s="668">
        <v>11</v>
      </c>
      <c r="P891" s="668" t="str">
        <f>IFERROR(VLOOKUP(F891, [2]MOE!B:C, 2, FALSE), "No")</f>
        <v>No</v>
      </c>
      <c r="Q891" s="711"/>
      <c r="S891" s="670" t="s">
        <v>1721</v>
      </c>
      <c r="T891" s="668" t="s">
        <v>1061</v>
      </c>
    </row>
    <row r="892" spans="1:20">
      <c r="A892" s="679">
        <v>8001530</v>
      </c>
      <c r="B892" s="677"/>
      <c r="C892" s="672"/>
      <c r="D892" s="672"/>
      <c r="E892" s="676" t="s">
        <v>1157</v>
      </c>
      <c r="F892" s="683" t="s">
        <v>1745</v>
      </c>
      <c r="G892" s="678">
        <v>800</v>
      </c>
      <c r="H892" s="684">
        <v>1530</v>
      </c>
      <c r="J892" s="668" t="str">
        <f t="shared" si="141"/>
        <v>(2) Other Miscellaneous Expenditures</v>
      </c>
      <c r="L892" s="668">
        <v>139</v>
      </c>
      <c r="M892" s="669">
        <v>129</v>
      </c>
      <c r="N892" s="668"/>
      <c r="O892" s="668">
        <v>11</v>
      </c>
      <c r="P892" s="668" t="str">
        <f>IFERROR(VLOOKUP(F892, [2]MOE!B:C, 2, FALSE), "No")</f>
        <v>No</v>
      </c>
      <c r="Q892" s="711"/>
      <c r="S892" s="670" t="s">
        <v>1721</v>
      </c>
      <c r="T892" s="668" t="s">
        <v>1063</v>
      </c>
    </row>
    <row r="893" spans="1:20">
      <c r="A893" s="671"/>
      <c r="B893" s="677"/>
      <c r="C893" s="672"/>
      <c r="D893" s="672" t="s">
        <v>859</v>
      </c>
      <c r="E893" s="676" t="s">
        <v>1065</v>
      </c>
      <c r="F893" s="675"/>
      <c r="G893" s="672"/>
      <c r="H893" s="676"/>
      <c r="Q893" s="711"/>
      <c r="S893" s="670"/>
    </row>
    <row r="894" spans="1:20">
      <c r="A894" s="679">
        <v>2101530</v>
      </c>
      <c r="B894" s="677"/>
      <c r="C894" s="672"/>
      <c r="D894" s="672"/>
      <c r="E894" s="676" t="s">
        <v>1159</v>
      </c>
      <c r="F894" s="683" t="s">
        <v>1746</v>
      </c>
      <c r="G894" s="678">
        <v>210</v>
      </c>
      <c r="H894" s="684">
        <v>1530</v>
      </c>
      <c r="J894" s="668" t="str">
        <f t="shared" ref="J894:J896" si="142">E894</f>
        <v>(1) Group Insurance</v>
      </c>
      <c r="L894" s="668">
        <v>89</v>
      </c>
      <c r="M894" s="669">
        <v>84</v>
      </c>
      <c r="N894" s="668"/>
      <c r="O894" s="668">
        <v>11</v>
      </c>
      <c r="P894" s="668" t="str">
        <f>IFERROR(VLOOKUP(F894, [2]MOE!B:C, 2, FALSE), "No")</f>
        <v>No</v>
      </c>
      <c r="Q894" s="711" t="s">
        <v>1004</v>
      </c>
      <c r="S894" s="670" t="s">
        <v>1721</v>
      </c>
      <c r="T894" s="668" t="s">
        <v>1066</v>
      </c>
    </row>
    <row r="895" spans="1:20">
      <c r="A895" s="679">
        <v>2201530</v>
      </c>
      <c r="B895" s="677"/>
      <c r="C895" s="672"/>
      <c r="D895" s="672"/>
      <c r="E895" s="676" t="s">
        <v>1161</v>
      </c>
      <c r="F895" s="683" t="s">
        <v>1747</v>
      </c>
      <c r="G895" s="678">
        <v>220</v>
      </c>
      <c r="H895" s="684">
        <v>1530</v>
      </c>
      <c r="J895" s="668" t="str">
        <f t="shared" si="142"/>
        <v>(2) FICA</v>
      </c>
      <c r="L895" s="668">
        <v>90</v>
      </c>
      <c r="M895" s="669">
        <v>85</v>
      </c>
      <c r="N895" s="668"/>
      <c r="O895" s="668">
        <v>11</v>
      </c>
      <c r="P895" s="668" t="str">
        <f>IFERROR(VLOOKUP(F895, [2]MOE!B:C, 2, FALSE), "No")</f>
        <v>No</v>
      </c>
      <c r="Q895" s="711" t="s">
        <v>1004</v>
      </c>
      <c r="S895" s="670" t="s">
        <v>1721</v>
      </c>
      <c r="T895" s="668" t="s">
        <v>1068</v>
      </c>
    </row>
    <row r="896" spans="1:20">
      <c r="A896" s="679">
        <v>2251530</v>
      </c>
      <c r="B896" s="677"/>
      <c r="C896" s="672"/>
      <c r="D896" s="672"/>
      <c r="E896" s="676" t="s">
        <v>1163</v>
      </c>
      <c r="F896" s="683" t="s">
        <v>1748</v>
      </c>
      <c r="G896" s="678">
        <v>225</v>
      </c>
      <c r="H896" s="684">
        <v>1530</v>
      </c>
      <c r="J896" s="668" t="str">
        <f t="shared" si="142"/>
        <v>(3) Medicare</v>
      </c>
      <c r="L896" s="668">
        <v>91</v>
      </c>
      <c r="M896" s="669">
        <v>86</v>
      </c>
      <c r="N896" s="668"/>
      <c r="O896" s="668">
        <v>11</v>
      </c>
      <c r="P896" s="668" t="str">
        <f>IFERROR(VLOOKUP(F896, [2]MOE!B:C, 2, FALSE), "No")</f>
        <v>No</v>
      </c>
      <c r="Q896" s="711" t="s">
        <v>1004</v>
      </c>
      <c r="S896" s="670" t="s">
        <v>1721</v>
      </c>
      <c r="T896" s="668" t="s">
        <v>23</v>
      </c>
    </row>
    <row r="897" spans="1:20">
      <c r="A897" s="671"/>
      <c r="B897" s="677"/>
      <c r="C897" s="672"/>
      <c r="D897" s="672"/>
      <c r="E897" s="676" t="s">
        <v>1165</v>
      </c>
      <c r="F897" s="675"/>
      <c r="G897" s="672"/>
      <c r="H897" s="676"/>
      <c r="Q897" s="711"/>
      <c r="S897" s="670"/>
    </row>
    <row r="898" spans="1:20">
      <c r="A898" s="679">
        <v>2311530</v>
      </c>
      <c r="B898" s="677"/>
      <c r="C898" s="672"/>
      <c r="D898" s="672"/>
      <c r="E898" s="676" t="s">
        <v>1166</v>
      </c>
      <c r="F898" s="683" t="s">
        <v>1749</v>
      </c>
      <c r="G898" s="678">
        <v>231</v>
      </c>
      <c r="H898" s="684">
        <v>1530</v>
      </c>
      <c r="J898" s="668" t="str">
        <f t="shared" ref="J898:J906" si="143">E898</f>
        <v>(a) Louisiana Teachers Retirement</v>
      </c>
      <c r="L898" s="668">
        <v>92</v>
      </c>
      <c r="M898" s="669">
        <v>87</v>
      </c>
      <c r="N898" s="668"/>
      <c r="O898" s="668">
        <v>11</v>
      </c>
      <c r="P898" s="668" t="str">
        <f>IFERROR(VLOOKUP(F898, [2]MOE!B:C, 2, FALSE), "No")</f>
        <v>No</v>
      </c>
      <c r="Q898" s="711" t="s">
        <v>1004</v>
      </c>
      <c r="S898" s="670" t="s">
        <v>1721</v>
      </c>
      <c r="T898" s="668" t="s">
        <v>1074</v>
      </c>
    </row>
    <row r="899" spans="1:20">
      <c r="A899" s="679">
        <v>2331530</v>
      </c>
      <c r="B899" s="677"/>
      <c r="C899" s="672"/>
      <c r="D899" s="672"/>
      <c r="E899" s="676" t="s">
        <v>1168</v>
      </c>
      <c r="F899" s="683" t="s">
        <v>1750</v>
      </c>
      <c r="G899" s="678">
        <v>233</v>
      </c>
      <c r="H899" s="684">
        <v>1530</v>
      </c>
      <c r="J899" s="668" t="str">
        <f t="shared" si="143"/>
        <v>(b) Louisiana School Emp. Retirement</v>
      </c>
      <c r="L899" s="668">
        <v>92</v>
      </c>
      <c r="M899" s="669">
        <v>87</v>
      </c>
      <c r="N899" s="668"/>
      <c r="O899" s="668">
        <v>11</v>
      </c>
      <c r="P899" s="668" t="str">
        <f>IFERROR(VLOOKUP(F899, [2]MOE!B:C, 2, FALSE), "No")</f>
        <v>No</v>
      </c>
      <c r="Q899" s="711" t="s">
        <v>1004</v>
      </c>
      <c r="S899" s="670" t="s">
        <v>1721</v>
      </c>
      <c r="T899" s="668" t="s">
        <v>1170</v>
      </c>
    </row>
    <row r="900" spans="1:20">
      <c r="A900" s="679">
        <v>2391530</v>
      </c>
      <c r="B900" s="677"/>
      <c r="C900" s="672"/>
      <c r="D900" s="672"/>
      <c r="E900" s="676" t="s">
        <v>1171</v>
      </c>
      <c r="F900" s="683" t="s">
        <v>1751</v>
      </c>
      <c r="G900" s="678">
        <v>239</v>
      </c>
      <c r="H900" s="684">
        <v>1530</v>
      </c>
      <c r="J900" s="668" t="str">
        <f t="shared" si="143"/>
        <v>(c) Other Retirement</v>
      </c>
      <c r="L900" s="668">
        <v>92</v>
      </c>
      <c r="M900" s="669">
        <v>87</v>
      </c>
      <c r="N900" s="668"/>
      <c r="O900" s="668">
        <v>11</v>
      </c>
      <c r="P900" s="668" t="str">
        <f>IFERROR(VLOOKUP(F900, [2]MOE!B:C, 2, FALSE), "No")</f>
        <v>No</v>
      </c>
      <c r="Q900" s="711" t="s">
        <v>1004</v>
      </c>
      <c r="S900" s="670" t="s">
        <v>1721</v>
      </c>
      <c r="T900" s="668" t="s">
        <v>1080</v>
      </c>
    </row>
    <row r="901" spans="1:20">
      <c r="A901" s="679">
        <v>2501530</v>
      </c>
      <c r="B901" s="677"/>
      <c r="C901" s="672"/>
      <c r="D901" s="672"/>
      <c r="E901" s="676" t="s">
        <v>1173</v>
      </c>
      <c r="F901" s="683" t="s">
        <v>1752</v>
      </c>
      <c r="G901" s="678">
        <v>250</v>
      </c>
      <c r="H901" s="684">
        <v>1530</v>
      </c>
      <c r="J901" s="668" t="str">
        <f t="shared" si="143"/>
        <v>(5) Unemployment Compensation</v>
      </c>
      <c r="L901" s="668">
        <v>93</v>
      </c>
      <c r="M901" s="669">
        <v>88</v>
      </c>
      <c r="N901" s="668"/>
      <c r="O901" s="668">
        <v>11</v>
      </c>
      <c r="P901" s="668" t="str">
        <f>IFERROR(VLOOKUP(F901, [2]MOE!B:C, 2, FALSE), "No")</f>
        <v>No</v>
      </c>
      <c r="Q901" s="711" t="s">
        <v>1004</v>
      </c>
      <c r="S901" s="670" t="s">
        <v>1721</v>
      </c>
      <c r="T901" s="668" t="s">
        <v>1081</v>
      </c>
    </row>
    <row r="902" spans="1:20">
      <c r="A902" s="679">
        <v>2601530</v>
      </c>
      <c r="B902" s="677"/>
      <c r="C902" s="672"/>
      <c r="D902" s="672"/>
      <c r="E902" s="676" t="s">
        <v>1175</v>
      </c>
      <c r="F902" s="683" t="s">
        <v>1753</v>
      </c>
      <c r="G902" s="678">
        <v>260</v>
      </c>
      <c r="H902" s="684">
        <v>1530</v>
      </c>
      <c r="J902" s="668" t="str">
        <f t="shared" si="143"/>
        <v>(6) Workmen's Compensation</v>
      </c>
      <c r="L902" s="668">
        <v>95</v>
      </c>
      <c r="M902" s="669">
        <v>90</v>
      </c>
      <c r="N902" s="668"/>
      <c r="O902" s="668">
        <v>11</v>
      </c>
      <c r="P902" s="668" t="str">
        <f>IFERROR(VLOOKUP(F902, [2]MOE!B:C, 2, FALSE), "No")</f>
        <v>No</v>
      </c>
      <c r="Q902" s="711" t="s">
        <v>1004</v>
      </c>
      <c r="S902" s="670" t="s">
        <v>1721</v>
      </c>
      <c r="T902" s="668" t="s">
        <v>1083</v>
      </c>
    </row>
    <row r="903" spans="1:20">
      <c r="A903" s="679">
        <v>2701530</v>
      </c>
      <c r="B903" s="677"/>
      <c r="C903" s="672"/>
      <c r="D903" s="672"/>
      <c r="E903" s="676" t="s">
        <v>1177</v>
      </c>
      <c r="F903" s="683" t="s">
        <v>1754</v>
      </c>
      <c r="G903" s="678">
        <v>270</v>
      </c>
      <c r="H903" s="684">
        <v>1530</v>
      </c>
      <c r="J903" s="668" t="str">
        <f t="shared" si="143"/>
        <v>(7) Health Benefits (retirees)</v>
      </c>
      <c r="L903" s="668">
        <v>94</v>
      </c>
      <c r="M903" s="669">
        <v>89</v>
      </c>
      <c r="N903" s="668"/>
      <c r="O903" s="668">
        <v>11</v>
      </c>
      <c r="P903" s="668" t="str">
        <f>IFERROR(VLOOKUP(F903, [2]MOE!B:C, 2, FALSE), "No")</f>
        <v>No</v>
      </c>
      <c r="Q903" s="711" t="s">
        <v>1004</v>
      </c>
      <c r="S903" s="670" t="s">
        <v>1721</v>
      </c>
      <c r="T903" s="668" t="s">
        <v>1085</v>
      </c>
    </row>
    <row r="904" spans="1:20">
      <c r="A904" s="679">
        <v>2811530</v>
      </c>
      <c r="B904" s="677"/>
      <c r="C904" s="672"/>
      <c r="D904" s="672"/>
      <c r="E904" s="676" t="s">
        <v>1179</v>
      </c>
      <c r="F904" s="683" t="s">
        <v>1755</v>
      </c>
      <c r="G904" s="678">
        <v>281</v>
      </c>
      <c r="H904" s="684">
        <v>1530</v>
      </c>
      <c r="J904" s="668" t="str">
        <f t="shared" si="143"/>
        <v>(8) Sick Leave Severance Pay</v>
      </c>
      <c r="L904" s="668">
        <v>95</v>
      </c>
      <c r="M904" s="669">
        <v>90</v>
      </c>
      <c r="N904" s="668"/>
      <c r="O904" s="668">
        <v>11</v>
      </c>
      <c r="P904" s="668" t="str">
        <f>IFERROR(VLOOKUP(F904, [2]MOE!B:C, 2, FALSE), "No")</f>
        <v>No</v>
      </c>
      <c r="Q904" s="711" t="s">
        <v>1004</v>
      </c>
      <c r="S904" s="670" t="s">
        <v>1721</v>
      </c>
      <c r="T904" s="668" t="s">
        <v>1087</v>
      </c>
    </row>
    <row r="905" spans="1:20">
      <c r="A905" s="679">
        <v>2821530</v>
      </c>
      <c r="B905" s="677"/>
      <c r="C905" s="672"/>
      <c r="D905" s="672"/>
      <c r="E905" s="676" t="s">
        <v>1181</v>
      </c>
      <c r="F905" s="683" t="s">
        <v>1756</v>
      </c>
      <c r="G905" s="678">
        <v>282</v>
      </c>
      <c r="H905" s="684">
        <v>1530</v>
      </c>
      <c r="J905" s="668" t="str">
        <f t="shared" si="143"/>
        <v>(9) Annual Leave Severance Pay</v>
      </c>
      <c r="L905" s="668">
        <v>95</v>
      </c>
      <c r="M905" s="669">
        <v>90</v>
      </c>
      <c r="N905" s="668"/>
      <c r="O905" s="668">
        <v>11</v>
      </c>
      <c r="P905" s="668" t="str">
        <f>IFERROR(VLOOKUP(F905, [2]MOE!B:C, 2, FALSE), "No")</f>
        <v>No</v>
      </c>
      <c r="Q905" s="711" t="s">
        <v>1004</v>
      </c>
      <c r="S905" s="670" t="s">
        <v>1721</v>
      </c>
      <c r="T905" s="668" t="s">
        <v>1089</v>
      </c>
    </row>
    <row r="906" spans="1:20">
      <c r="A906" s="679">
        <v>2901530</v>
      </c>
      <c r="B906" s="719"/>
      <c r="C906" s="681"/>
      <c r="D906" s="681"/>
      <c r="E906" s="686" t="s">
        <v>1183</v>
      </c>
      <c r="F906" s="680" t="s">
        <v>1757</v>
      </c>
      <c r="G906" s="710">
        <v>290</v>
      </c>
      <c r="H906" s="682">
        <v>1530</v>
      </c>
      <c r="J906" s="668" t="str">
        <f t="shared" si="143"/>
        <v>(10) Other Employee Benefits</v>
      </c>
      <c r="L906" s="668">
        <v>95</v>
      </c>
      <c r="M906" s="669">
        <v>90</v>
      </c>
      <c r="N906" s="668"/>
      <c r="O906" s="668">
        <v>11</v>
      </c>
      <c r="P906" s="668" t="str">
        <f>IFERROR(VLOOKUP(F906, [2]MOE!B:C, 2, FALSE), "No")</f>
        <v>No</v>
      </c>
      <c r="Q906" s="711" t="s">
        <v>1004</v>
      </c>
      <c r="S906" s="670" t="s">
        <v>1721</v>
      </c>
      <c r="T906" s="668" t="s">
        <v>1092</v>
      </c>
    </row>
    <row r="907" spans="1:20">
      <c r="A907" s="671"/>
      <c r="B907" s="677"/>
      <c r="C907" s="678">
        <v>30</v>
      </c>
      <c r="D907" s="927" t="s">
        <v>1758</v>
      </c>
      <c r="E907" s="926"/>
      <c r="F907" s="675"/>
      <c r="G907" s="672"/>
      <c r="H907" s="676"/>
      <c r="Q907" s="711"/>
      <c r="S907" s="670"/>
    </row>
    <row r="908" spans="1:20">
      <c r="A908" s="671"/>
      <c r="B908" s="677"/>
      <c r="C908" s="672"/>
      <c r="D908" s="672" t="s">
        <v>759</v>
      </c>
      <c r="E908" s="676" t="s">
        <v>244</v>
      </c>
      <c r="F908" s="675"/>
      <c r="G908" s="672"/>
      <c r="H908" s="676"/>
      <c r="Q908" s="711"/>
      <c r="S908" s="670"/>
    </row>
    <row r="909" spans="1:20">
      <c r="A909" s="679">
        <v>1121590</v>
      </c>
      <c r="B909" s="677"/>
      <c r="C909" s="672"/>
      <c r="D909" s="672"/>
      <c r="E909" s="676" t="s">
        <v>1098</v>
      </c>
      <c r="F909" s="680" t="s">
        <v>1759</v>
      </c>
      <c r="G909" s="710">
        <v>112</v>
      </c>
      <c r="H909" s="682">
        <v>1590</v>
      </c>
      <c r="J909" s="668" t="str">
        <f t="shared" ref="J909:J915" si="144">E909</f>
        <v>(1) Teachers</v>
      </c>
      <c r="L909" s="668">
        <v>82</v>
      </c>
      <c r="M909" s="669">
        <v>77</v>
      </c>
      <c r="N909" s="668"/>
      <c r="O909" s="668">
        <v>11</v>
      </c>
      <c r="P909" s="668" t="str">
        <f>IFERROR(VLOOKUP(F909, [2]MOE!B:C, 2, FALSE), "No")</f>
        <v>No</v>
      </c>
      <c r="Q909" s="711" t="s">
        <v>1004</v>
      </c>
      <c r="S909" s="670" t="s">
        <v>1760</v>
      </c>
      <c r="T909" s="668" t="s">
        <v>5</v>
      </c>
    </row>
    <row r="910" spans="1:20">
      <c r="A910" s="679">
        <v>1151590</v>
      </c>
      <c r="B910" s="677"/>
      <c r="C910" s="672"/>
      <c r="D910" s="672"/>
      <c r="E910" s="676" t="s">
        <v>1100</v>
      </c>
      <c r="F910" s="680" t="s">
        <v>1761</v>
      </c>
      <c r="G910" s="710">
        <v>115</v>
      </c>
      <c r="H910" s="682">
        <v>1590</v>
      </c>
      <c r="J910" s="668" t="str">
        <f t="shared" si="144"/>
        <v>(2) Para-professionals (Aides)</v>
      </c>
      <c r="L910" s="668">
        <v>86</v>
      </c>
      <c r="M910" s="669">
        <v>81</v>
      </c>
      <c r="N910" s="668"/>
      <c r="O910" s="668">
        <v>11</v>
      </c>
      <c r="P910" s="668" t="str">
        <f>IFERROR(VLOOKUP(F910, [2]MOE!B:C, 2, FALSE), "No")</f>
        <v>No</v>
      </c>
      <c r="Q910" s="711" t="s">
        <v>1004</v>
      </c>
      <c r="S910" s="670" t="s">
        <v>1760</v>
      </c>
      <c r="T910" s="668" t="s">
        <v>1102</v>
      </c>
    </row>
    <row r="911" spans="1:20">
      <c r="A911" s="679">
        <v>1231590</v>
      </c>
      <c r="B911" s="677"/>
      <c r="C911" s="672"/>
      <c r="D911" s="672"/>
      <c r="E911" s="676" t="s">
        <v>1103</v>
      </c>
      <c r="F911" s="680" t="s">
        <v>1762</v>
      </c>
      <c r="G911" s="710">
        <v>123</v>
      </c>
      <c r="H911" s="682">
        <v>1590</v>
      </c>
      <c r="J911" s="668" t="str">
        <f t="shared" si="144"/>
        <v>(3) Substitute Teachers</v>
      </c>
      <c r="L911" s="668">
        <v>86</v>
      </c>
      <c r="M911" s="669">
        <v>81</v>
      </c>
      <c r="N911" s="668"/>
      <c r="O911" s="668">
        <v>11</v>
      </c>
      <c r="P911" s="668" t="str">
        <f>IFERROR(VLOOKUP(F911, [2]MOE!B:C, 2, FALSE), "No")</f>
        <v>No</v>
      </c>
      <c r="Q911" s="711" t="s">
        <v>1004</v>
      </c>
      <c r="S911" s="670" t="s">
        <v>1760</v>
      </c>
      <c r="T911" s="668" t="s">
        <v>1105</v>
      </c>
    </row>
    <row r="912" spans="1:20">
      <c r="A912" s="679">
        <v>1201590</v>
      </c>
      <c r="B912" s="677"/>
      <c r="C912" s="672"/>
      <c r="D912" s="672"/>
      <c r="E912" s="676" t="s">
        <v>1106</v>
      </c>
      <c r="F912" s="680" t="s">
        <v>1763</v>
      </c>
      <c r="G912" s="710">
        <v>120</v>
      </c>
      <c r="H912" s="682">
        <v>1590</v>
      </c>
      <c r="J912" s="668" t="str">
        <f t="shared" si="144"/>
        <v>(4) Other Substitute/Temp. Employees</v>
      </c>
      <c r="L912" s="668">
        <v>86</v>
      </c>
      <c r="M912" s="669">
        <v>81</v>
      </c>
      <c r="N912" s="668"/>
      <c r="O912" s="668">
        <v>11</v>
      </c>
      <c r="P912" s="668" t="str">
        <f>IFERROR(VLOOKUP(F912, [2]MOE!B:C, 2, FALSE), "No")</f>
        <v>No</v>
      </c>
      <c r="Q912" s="711" t="s">
        <v>1004</v>
      </c>
      <c r="S912" s="670" t="s">
        <v>1760</v>
      </c>
      <c r="T912" s="668" t="s">
        <v>1108</v>
      </c>
    </row>
    <row r="913" spans="1:20">
      <c r="A913" s="679">
        <v>1001590</v>
      </c>
      <c r="B913" s="677"/>
      <c r="C913" s="672"/>
      <c r="D913" s="672"/>
      <c r="E913" s="676" t="s">
        <v>1109</v>
      </c>
      <c r="F913" s="680" t="s">
        <v>1764</v>
      </c>
      <c r="G913" s="710">
        <v>100</v>
      </c>
      <c r="H913" s="682">
        <v>1590</v>
      </c>
      <c r="J913" s="668" t="str">
        <f t="shared" si="144"/>
        <v>(5) Other Instructional Salaries</v>
      </c>
      <c r="L913" s="668">
        <v>86</v>
      </c>
      <c r="M913" s="669">
        <v>81</v>
      </c>
      <c r="N913" s="668"/>
      <c r="O913" s="668">
        <v>11</v>
      </c>
      <c r="P913" s="668" t="str">
        <f>IFERROR(VLOOKUP(F913, [2]MOE!B:C, 2, FALSE), "No")</f>
        <v>No</v>
      </c>
      <c r="Q913" s="711" t="s">
        <v>1004</v>
      </c>
      <c r="S913" s="670" t="s">
        <v>1760</v>
      </c>
      <c r="T913" s="668" t="s">
        <v>1017</v>
      </c>
    </row>
    <row r="914" spans="1:20">
      <c r="A914" s="679">
        <v>1401590</v>
      </c>
      <c r="B914" s="677"/>
      <c r="C914" s="672"/>
      <c r="D914" s="672"/>
      <c r="E914" s="676" t="s">
        <v>1111</v>
      </c>
      <c r="F914" s="680" t="s">
        <v>1765</v>
      </c>
      <c r="G914" s="710">
        <v>140</v>
      </c>
      <c r="H914" s="682">
        <v>1590</v>
      </c>
      <c r="J914" s="668" t="str">
        <f t="shared" si="144"/>
        <v>(6) Sabbatical Leave</v>
      </c>
      <c r="L914" s="668">
        <v>86</v>
      </c>
      <c r="M914" s="669">
        <v>81</v>
      </c>
      <c r="N914" s="668"/>
      <c r="O914" s="668">
        <v>11</v>
      </c>
      <c r="P914" s="668" t="str">
        <f>IFERROR(VLOOKUP(F914, [2]MOE!B:C, 2, FALSE), "No")</f>
        <v>No</v>
      </c>
      <c r="Q914" s="711" t="s">
        <v>1004</v>
      </c>
      <c r="S914" s="670" t="s">
        <v>1760</v>
      </c>
      <c r="T914" s="668" t="s">
        <v>1019</v>
      </c>
    </row>
    <row r="915" spans="1:20">
      <c r="A915" s="679">
        <v>3001590</v>
      </c>
      <c r="B915" s="677"/>
      <c r="C915" s="672"/>
      <c r="D915" s="672" t="s">
        <v>777</v>
      </c>
      <c r="E915" s="676" t="s">
        <v>1113</v>
      </c>
      <c r="F915" s="680" t="s">
        <v>1766</v>
      </c>
      <c r="G915" s="710">
        <v>300</v>
      </c>
      <c r="H915" s="682">
        <v>1590</v>
      </c>
      <c r="J915" s="668" t="str">
        <f t="shared" si="144"/>
        <v>Purchased Professional and Technical Svcs</v>
      </c>
      <c r="L915" s="668">
        <v>101</v>
      </c>
      <c r="M915" s="669">
        <v>96</v>
      </c>
      <c r="N915" s="668"/>
      <c r="O915" s="668">
        <v>11</v>
      </c>
      <c r="P915" s="668" t="str">
        <f>IFERROR(VLOOKUP(F915, [2]MOE!B:C, 2, FALSE), "No")</f>
        <v>No</v>
      </c>
      <c r="Q915" s="711"/>
      <c r="S915" s="670" t="s">
        <v>1760</v>
      </c>
      <c r="T915" s="668" t="s">
        <v>1113</v>
      </c>
    </row>
    <row r="916" spans="1:20">
      <c r="A916" s="671"/>
      <c r="B916" s="677"/>
      <c r="C916" s="672"/>
      <c r="D916" s="672" t="s">
        <v>801</v>
      </c>
      <c r="E916" s="676" t="s">
        <v>250</v>
      </c>
      <c r="F916" s="675"/>
      <c r="G916" s="672"/>
      <c r="H916" s="676"/>
      <c r="Q916" s="711"/>
      <c r="S916" s="670"/>
    </row>
    <row r="917" spans="1:20">
      <c r="A917" s="679">
        <v>4301590</v>
      </c>
      <c r="B917" s="677"/>
      <c r="C917" s="672"/>
      <c r="D917" s="672"/>
      <c r="E917" s="676" t="s">
        <v>1115</v>
      </c>
      <c r="F917" s="680" t="s">
        <v>1767</v>
      </c>
      <c r="G917" s="710">
        <v>430</v>
      </c>
      <c r="H917" s="682">
        <v>1590</v>
      </c>
      <c r="J917" s="668" t="str">
        <f t="shared" ref="J917:J919" si="145">E917</f>
        <v>(1) Repairs and Maintenance Services</v>
      </c>
      <c r="L917" s="668">
        <v>107</v>
      </c>
      <c r="M917" s="669">
        <v>102</v>
      </c>
      <c r="N917" s="668"/>
      <c r="O917" s="668">
        <v>11</v>
      </c>
      <c r="P917" s="668" t="str">
        <f>IFERROR(VLOOKUP(F917, [2]MOE!B:C, 2, FALSE), "No")</f>
        <v>No</v>
      </c>
      <c r="Q917" s="711"/>
      <c r="S917" s="670" t="s">
        <v>1760</v>
      </c>
      <c r="T917" s="668" t="s">
        <v>1023</v>
      </c>
    </row>
    <row r="918" spans="1:20">
      <c r="A918" s="679">
        <v>4421590</v>
      </c>
      <c r="B918" s="677"/>
      <c r="C918" s="672"/>
      <c r="D918" s="672"/>
      <c r="E918" s="676" t="s">
        <v>1117</v>
      </c>
      <c r="F918" s="680" t="s">
        <v>1768</v>
      </c>
      <c r="G918" s="710">
        <v>442</v>
      </c>
      <c r="H918" s="682">
        <v>1590</v>
      </c>
      <c r="J918" s="668" t="str">
        <f t="shared" si="145"/>
        <v>(2) Rental of Equipment</v>
      </c>
      <c r="L918" s="668">
        <v>106</v>
      </c>
      <c r="M918" s="669">
        <v>101</v>
      </c>
      <c r="N918" s="668"/>
      <c r="O918" s="668">
        <v>11</v>
      </c>
      <c r="P918" s="668" t="str">
        <f>IFERROR(VLOOKUP(F918, [2]MOE!B:C, 2, FALSE), "No")</f>
        <v>No</v>
      </c>
      <c r="Q918" s="711"/>
      <c r="S918" s="670" t="s">
        <v>1760</v>
      </c>
      <c r="T918" s="668" t="s">
        <v>1025</v>
      </c>
    </row>
    <row r="919" spans="1:20">
      <c r="A919" s="679">
        <v>4001590</v>
      </c>
      <c r="B919" s="677"/>
      <c r="C919" s="672"/>
      <c r="D919" s="672"/>
      <c r="E919" s="676" t="s">
        <v>1119</v>
      </c>
      <c r="F919" s="680" t="s">
        <v>1769</v>
      </c>
      <c r="G919" s="710">
        <v>400</v>
      </c>
      <c r="H919" s="682">
        <v>1590</v>
      </c>
      <c r="J919" s="668" t="str">
        <f t="shared" si="145"/>
        <v>(3) Other Purchased Property Services</v>
      </c>
      <c r="L919" s="668">
        <v>108</v>
      </c>
      <c r="M919" s="669">
        <v>103</v>
      </c>
      <c r="N919" s="668"/>
      <c r="O919" s="668">
        <v>11</v>
      </c>
      <c r="P919" s="668" t="str">
        <f>IFERROR(VLOOKUP(F919, [2]MOE!B:C, 2, FALSE), "No")</f>
        <v>No</v>
      </c>
      <c r="Q919" s="711"/>
      <c r="S919" s="670" t="s">
        <v>1760</v>
      </c>
      <c r="T919" s="668" t="s">
        <v>1027</v>
      </c>
    </row>
    <row r="920" spans="1:20">
      <c r="A920" s="671"/>
      <c r="B920" s="677"/>
      <c r="C920" s="672"/>
      <c r="D920" s="672" t="s">
        <v>805</v>
      </c>
      <c r="E920" s="676" t="s">
        <v>252</v>
      </c>
      <c r="F920" s="675"/>
      <c r="G920" s="672"/>
      <c r="H920" s="676"/>
      <c r="Q920" s="711"/>
      <c r="S920" s="670"/>
    </row>
    <row r="921" spans="1:20">
      <c r="A921" s="671"/>
      <c r="B921" s="677"/>
      <c r="C921" s="672"/>
      <c r="D921" s="672"/>
      <c r="E921" s="676" t="s">
        <v>1121</v>
      </c>
      <c r="F921" s="675"/>
      <c r="G921" s="672"/>
      <c r="H921" s="676"/>
      <c r="Q921" s="711"/>
      <c r="S921" s="670"/>
    </row>
    <row r="922" spans="1:20">
      <c r="A922" s="679">
        <v>5611590</v>
      </c>
      <c r="B922" s="677"/>
      <c r="C922" s="672"/>
      <c r="D922" s="672"/>
      <c r="E922" s="676" t="s">
        <v>1122</v>
      </c>
      <c r="F922" s="680" t="s">
        <v>1770</v>
      </c>
      <c r="G922" s="710">
        <v>561</v>
      </c>
      <c r="H922" s="682">
        <v>1590</v>
      </c>
      <c r="J922" s="668" t="str">
        <f t="shared" ref="J922:J926" si="146">E922</f>
        <v>(a) Paid to Other LEA (In-State)</v>
      </c>
      <c r="L922" s="668">
        <v>119</v>
      </c>
      <c r="M922" s="669">
        <v>110</v>
      </c>
      <c r="N922" s="668"/>
      <c r="O922" s="668">
        <v>11</v>
      </c>
      <c r="P922" s="668" t="str">
        <f>IFERROR(VLOOKUP(F922, [2]MOE!B:C, 2, FALSE), "No")</f>
        <v>No</v>
      </c>
      <c r="Q922" s="711"/>
      <c r="S922" s="670" t="s">
        <v>1760</v>
      </c>
      <c r="T922" s="668" t="s">
        <v>1032</v>
      </c>
    </row>
    <row r="923" spans="1:20">
      <c r="A923" s="679">
        <v>5621590</v>
      </c>
      <c r="B923" s="677"/>
      <c r="C923" s="672"/>
      <c r="D923" s="672"/>
      <c r="E923" s="676" t="s">
        <v>1124</v>
      </c>
      <c r="F923" s="680" t="s">
        <v>1771</v>
      </c>
      <c r="G923" s="710">
        <v>562</v>
      </c>
      <c r="H923" s="682">
        <v>1590</v>
      </c>
      <c r="J923" s="668" t="str">
        <f t="shared" si="146"/>
        <v>(b) Paid to Other LEA (Out-of-State)</v>
      </c>
      <c r="L923" s="668">
        <v>119</v>
      </c>
      <c r="M923" s="669">
        <v>110</v>
      </c>
      <c r="N923" s="668"/>
      <c r="O923" s="668">
        <v>11</v>
      </c>
      <c r="P923" s="668" t="str">
        <f>IFERROR(VLOOKUP(F923, [2]MOE!B:C, 2, FALSE), "No")</f>
        <v>No</v>
      </c>
      <c r="Q923" s="711"/>
      <c r="S923" s="670" t="s">
        <v>1760</v>
      </c>
      <c r="T923" s="668" t="s">
        <v>1035</v>
      </c>
    </row>
    <row r="924" spans="1:20">
      <c r="A924" s="679">
        <v>5631590</v>
      </c>
      <c r="B924" s="677"/>
      <c r="C924" s="672"/>
      <c r="D924" s="672"/>
      <c r="E924" s="676" t="s">
        <v>1305</v>
      </c>
      <c r="F924" s="680" t="s">
        <v>1772</v>
      </c>
      <c r="G924" s="710">
        <v>563</v>
      </c>
      <c r="H924" s="682">
        <v>1590</v>
      </c>
      <c r="J924" s="668" t="str">
        <f t="shared" si="146"/>
        <v>(c) Paid to Private Sources</v>
      </c>
      <c r="L924" s="668">
        <v>119</v>
      </c>
      <c r="M924" s="669">
        <v>110</v>
      </c>
      <c r="N924" s="668"/>
      <c r="O924" s="668">
        <v>11</v>
      </c>
      <c r="P924" s="668" t="str">
        <f>IFERROR(VLOOKUP(F924, [2]MOE!B:C, 2, FALSE), "No")</f>
        <v>No</v>
      </c>
      <c r="Q924" s="711"/>
      <c r="S924" s="670" t="s">
        <v>1760</v>
      </c>
      <c r="T924" s="668" t="s">
        <v>1038</v>
      </c>
    </row>
    <row r="925" spans="1:20">
      <c r="A925" s="679">
        <v>5821590</v>
      </c>
      <c r="B925" s="677"/>
      <c r="C925" s="672"/>
      <c r="D925" s="672"/>
      <c r="E925" s="676" t="s">
        <v>1135</v>
      </c>
      <c r="F925" s="680" t="s">
        <v>1773</v>
      </c>
      <c r="G925" s="710">
        <v>582</v>
      </c>
      <c r="H925" s="682">
        <v>1590</v>
      </c>
      <c r="J925" s="668" t="str">
        <f t="shared" si="146"/>
        <v>(2) Travel Expense Reimbursement</v>
      </c>
      <c r="L925" s="668">
        <v>118</v>
      </c>
      <c r="M925" s="669">
        <v>109</v>
      </c>
      <c r="N925" s="668"/>
      <c r="O925" s="668">
        <v>11</v>
      </c>
      <c r="P925" s="668" t="str">
        <f>IFERROR(VLOOKUP(F925, [2]MOE!B:C, 2, FALSE), "No")</f>
        <v>No</v>
      </c>
      <c r="Q925" s="711"/>
      <c r="S925" s="670" t="s">
        <v>1760</v>
      </c>
      <c r="T925" s="668" t="s">
        <v>1039</v>
      </c>
    </row>
    <row r="926" spans="1:20">
      <c r="A926" s="679">
        <v>5001590</v>
      </c>
      <c r="B926" s="677"/>
      <c r="C926" s="672"/>
      <c r="D926" s="672"/>
      <c r="E926" s="676" t="s">
        <v>1137</v>
      </c>
      <c r="F926" s="680" t="s">
        <v>1774</v>
      </c>
      <c r="G926" s="710">
        <v>500</v>
      </c>
      <c r="H926" s="682">
        <v>1590</v>
      </c>
      <c r="J926" s="668" t="str">
        <f t="shared" si="146"/>
        <v>(3) Other Purchased Services</v>
      </c>
      <c r="L926" s="668">
        <v>119</v>
      </c>
      <c r="M926" s="669">
        <v>110</v>
      </c>
      <c r="N926" s="668"/>
      <c r="O926" s="668">
        <v>11</v>
      </c>
      <c r="P926" s="668" t="str">
        <f>IFERROR(VLOOKUP(F926, [2]MOE!B:C, 2, FALSE), "No")</f>
        <v>No</v>
      </c>
      <c r="Q926" s="711"/>
      <c r="S926" s="670" t="s">
        <v>1760</v>
      </c>
      <c r="T926" s="668" t="s">
        <v>252</v>
      </c>
    </row>
    <row r="927" spans="1:20">
      <c r="A927" s="671"/>
      <c r="B927" s="677"/>
      <c r="C927" s="672"/>
      <c r="D927" s="672" t="s">
        <v>850</v>
      </c>
      <c r="E927" s="676" t="s">
        <v>1042</v>
      </c>
      <c r="F927" s="675"/>
      <c r="G927" s="672"/>
      <c r="H927" s="676"/>
      <c r="Q927" s="711"/>
      <c r="S927" s="670"/>
    </row>
    <row r="928" spans="1:20">
      <c r="A928" s="679">
        <v>6151590</v>
      </c>
      <c r="B928" s="677"/>
      <c r="C928" s="672"/>
      <c r="D928" s="672"/>
      <c r="E928" s="676" t="s">
        <v>1139</v>
      </c>
      <c r="F928" s="680" t="s">
        <v>1775</v>
      </c>
      <c r="G928" s="710">
        <v>615</v>
      </c>
      <c r="H928" s="682">
        <v>1590</v>
      </c>
      <c r="J928" s="668" t="str">
        <f t="shared" ref="J928:J931" si="147">E928</f>
        <v>(1) Technology-Related Supplies</v>
      </c>
      <c r="L928" s="668">
        <v>126</v>
      </c>
      <c r="M928" s="669">
        <v>117</v>
      </c>
      <c r="N928" s="668"/>
      <c r="O928" s="668">
        <v>11</v>
      </c>
      <c r="P928" s="668" t="str">
        <f>IFERROR(VLOOKUP(F928, [2]MOE!B:C, 2, FALSE), "No")</f>
        <v>No</v>
      </c>
      <c r="Q928" s="711" t="s">
        <v>1045</v>
      </c>
      <c r="S928" s="670" t="s">
        <v>1760</v>
      </c>
      <c r="T928" s="668" t="s">
        <v>1043</v>
      </c>
    </row>
    <row r="929" spans="1:20">
      <c r="A929" s="679">
        <v>6101590</v>
      </c>
      <c r="B929" s="677"/>
      <c r="C929" s="672"/>
      <c r="D929" s="672"/>
      <c r="E929" s="676" t="s">
        <v>1141</v>
      </c>
      <c r="F929" s="680" t="s">
        <v>1776</v>
      </c>
      <c r="G929" s="710">
        <v>610</v>
      </c>
      <c r="H929" s="682">
        <v>1590</v>
      </c>
      <c r="J929" s="668" t="str">
        <f t="shared" si="147"/>
        <v>(2) Materials and Supplies</v>
      </c>
      <c r="L929" s="668">
        <v>122</v>
      </c>
      <c r="M929" s="669">
        <v>113</v>
      </c>
      <c r="N929" s="668"/>
      <c r="O929" s="668">
        <v>11</v>
      </c>
      <c r="P929" s="668" t="str">
        <f>IFERROR(VLOOKUP(F929, [2]MOE!B:C, 2, FALSE), "No")</f>
        <v>No</v>
      </c>
      <c r="Q929" s="711" t="s">
        <v>1045</v>
      </c>
      <c r="S929" s="670" t="s">
        <v>1760</v>
      </c>
      <c r="T929" s="668" t="s">
        <v>39</v>
      </c>
    </row>
    <row r="930" spans="1:20">
      <c r="A930" s="679">
        <v>6421590</v>
      </c>
      <c r="B930" s="677"/>
      <c r="C930" s="672"/>
      <c r="D930" s="672"/>
      <c r="E930" s="676" t="s">
        <v>1143</v>
      </c>
      <c r="F930" s="680" t="s">
        <v>1777</v>
      </c>
      <c r="G930" s="710">
        <v>642</v>
      </c>
      <c r="H930" s="682">
        <v>1590</v>
      </c>
      <c r="J930" s="668" t="str">
        <f t="shared" si="147"/>
        <v>(3) Textbooks/Workbooks</v>
      </c>
      <c r="L930" s="668">
        <v>125</v>
      </c>
      <c r="M930" s="669">
        <v>116</v>
      </c>
      <c r="N930" s="668"/>
      <c r="O930" s="668">
        <v>11</v>
      </c>
      <c r="P930" s="668" t="str">
        <f>IFERROR(VLOOKUP(F930, [2]MOE!B:C, 2, FALSE), "No")</f>
        <v>No</v>
      </c>
      <c r="Q930" s="711" t="s">
        <v>1045</v>
      </c>
      <c r="S930" s="670" t="s">
        <v>1760</v>
      </c>
      <c r="T930" s="668" t="s">
        <v>1048</v>
      </c>
    </row>
    <row r="931" spans="1:20">
      <c r="A931" s="679">
        <v>6001590</v>
      </c>
      <c r="B931" s="677"/>
      <c r="C931" s="672"/>
      <c r="D931" s="672"/>
      <c r="E931" s="676" t="s">
        <v>1145</v>
      </c>
      <c r="F931" s="680" t="s">
        <v>1778</v>
      </c>
      <c r="G931" s="710">
        <v>600</v>
      </c>
      <c r="H931" s="682">
        <v>1590</v>
      </c>
      <c r="J931" s="668" t="str">
        <f t="shared" si="147"/>
        <v>(4) Other Supplies</v>
      </c>
      <c r="L931" s="668">
        <v>126</v>
      </c>
      <c r="M931" s="669">
        <v>117</v>
      </c>
      <c r="N931" s="668"/>
      <c r="O931" s="668">
        <v>11</v>
      </c>
      <c r="P931" s="668" t="str">
        <f>IFERROR(VLOOKUP(F931, [2]MOE!B:C, 2, FALSE), "No")</f>
        <v>No</v>
      </c>
      <c r="Q931" s="711"/>
      <c r="S931" s="670" t="s">
        <v>1760</v>
      </c>
      <c r="T931" s="668" t="s">
        <v>1050</v>
      </c>
    </row>
    <row r="932" spans="1:20">
      <c r="A932" s="671"/>
      <c r="B932" s="677"/>
      <c r="C932" s="672"/>
      <c r="D932" s="672" t="s">
        <v>853</v>
      </c>
      <c r="E932" s="676" t="s">
        <v>1052</v>
      </c>
      <c r="F932" s="675"/>
      <c r="G932" s="672"/>
      <c r="H932" s="676"/>
      <c r="Q932" s="711"/>
      <c r="S932" s="670"/>
    </row>
    <row r="933" spans="1:20">
      <c r="A933" s="679">
        <v>7341590</v>
      </c>
      <c r="B933" s="677"/>
      <c r="C933" s="672"/>
      <c r="D933" s="672"/>
      <c r="E933" s="676" t="s">
        <v>1147</v>
      </c>
      <c r="F933" s="680" t="s">
        <v>1779</v>
      </c>
      <c r="G933" s="710">
        <v>734</v>
      </c>
      <c r="H933" s="682">
        <v>1590</v>
      </c>
      <c r="J933" s="668" t="str">
        <f t="shared" ref="J933:J936" si="148">E933</f>
        <v>(1) Technology-Related Hardware</v>
      </c>
      <c r="L933" s="668">
        <v>131</v>
      </c>
      <c r="M933" s="669">
        <v>122</v>
      </c>
      <c r="N933" s="668"/>
      <c r="O933" s="668">
        <v>11</v>
      </c>
      <c r="P933" s="668" t="str">
        <f>IFERROR(VLOOKUP(F933, [2]MOE!B:C, 2, FALSE), "No")</f>
        <v>No</v>
      </c>
      <c r="Q933" s="711"/>
      <c r="S933" s="670" t="s">
        <v>1760</v>
      </c>
      <c r="T933" s="668" t="s">
        <v>1053</v>
      </c>
    </row>
    <row r="934" spans="1:20">
      <c r="A934" s="679">
        <v>7351590</v>
      </c>
      <c r="B934" s="677"/>
      <c r="C934" s="672"/>
      <c r="D934" s="672"/>
      <c r="E934" s="676" t="s">
        <v>1149</v>
      </c>
      <c r="F934" s="680" t="s">
        <v>1780</v>
      </c>
      <c r="G934" s="710">
        <v>735</v>
      </c>
      <c r="H934" s="682">
        <v>1590</v>
      </c>
      <c r="J934" s="668" t="str">
        <f t="shared" si="148"/>
        <v>(2) Technology Software</v>
      </c>
      <c r="L934" s="668">
        <v>131</v>
      </c>
      <c r="M934" s="669">
        <v>122</v>
      </c>
      <c r="N934" s="668"/>
      <c r="O934" s="668">
        <v>11</v>
      </c>
      <c r="P934" s="668" t="str">
        <f>IFERROR(VLOOKUP(F934, [2]MOE!B:C, 2, FALSE), "No")</f>
        <v>No</v>
      </c>
      <c r="Q934" s="711"/>
      <c r="S934" s="670" t="s">
        <v>1760</v>
      </c>
      <c r="T934" s="668" t="s">
        <v>1055</v>
      </c>
    </row>
    <row r="935" spans="1:20">
      <c r="A935" s="679">
        <v>7301590</v>
      </c>
      <c r="B935" s="677"/>
      <c r="C935" s="672"/>
      <c r="D935" s="672"/>
      <c r="E935" s="676" t="s">
        <v>1151</v>
      </c>
      <c r="F935" s="680" t="s">
        <v>1781</v>
      </c>
      <c r="G935" s="710">
        <v>730</v>
      </c>
      <c r="H935" s="682">
        <v>1590</v>
      </c>
      <c r="J935" s="668" t="str">
        <f t="shared" si="148"/>
        <v>(3) All Other Equipment</v>
      </c>
      <c r="L935" s="668">
        <v>131</v>
      </c>
      <c r="M935" s="669">
        <v>122</v>
      </c>
      <c r="N935" s="668"/>
      <c r="O935" s="668">
        <v>11</v>
      </c>
      <c r="P935" s="668" t="str">
        <f>IFERROR(VLOOKUP(F935, [2]MOE!B:C, 2, FALSE), "No")</f>
        <v>No</v>
      </c>
      <c r="Q935" s="711"/>
      <c r="S935" s="670" t="s">
        <v>1760</v>
      </c>
      <c r="T935" s="668" t="s">
        <v>1057</v>
      </c>
    </row>
    <row r="936" spans="1:20">
      <c r="A936" s="679">
        <v>7001590</v>
      </c>
      <c r="B936" s="677"/>
      <c r="C936" s="672"/>
      <c r="D936" s="672"/>
      <c r="E936" s="676" t="s">
        <v>1153</v>
      </c>
      <c r="F936" s="680" t="s">
        <v>1782</v>
      </c>
      <c r="G936" s="710">
        <v>700</v>
      </c>
      <c r="H936" s="682">
        <v>1590</v>
      </c>
      <c r="J936" s="668" t="str">
        <f t="shared" si="148"/>
        <v>(4) Other Property</v>
      </c>
      <c r="L936" s="668">
        <v>132</v>
      </c>
      <c r="M936" s="669">
        <v>123</v>
      </c>
      <c r="N936" s="668"/>
      <c r="O936" s="668">
        <v>11</v>
      </c>
      <c r="P936" s="668" t="str">
        <f>IFERROR(VLOOKUP(F936, [2]MOE!B:C, 2, FALSE), "No")</f>
        <v>No</v>
      </c>
      <c r="Q936" s="711"/>
      <c r="S936" s="670" t="s">
        <v>1760</v>
      </c>
      <c r="T936" s="668" t="s">
        <v>1059</v>
      </c>
    </row>
    <row r="937" spans="1:20">
      <c r="A937" s="671"/>
      <c r="B937" s="677"/>
      <c r="C937" s="672"/>
      <c r="D937" s="672" t="s">
        <v>856</v>
      </c>
      <c r="E937" s="676" t="s">
        <v>256</v>
      </c>
      <c r="F937" s="675"/>
      <c r="G937" s="672"/>
      <c r="H937" s="676"/>
      <c r="Q937" s="711"/>
      <c r="S937" s="670"/>
    </row>
    <row r="938" spans="1:20">
      <c r="A938" s="679">
        <v>8951590</v>
      </c>
      <c r="B938" s="677"/>
      <c r="C938" s="672"/>
      <c r="D938" s="672"/>
      <c r="E938" s="676" t="s">
        <v>1155</v>
      </c>
      <c r="F938" s="680" t="s">
        <v>1783</v>
      </c>
      <c r="G938" s="710">
        <v>895</v>
      </c>
      <c r="H938" s="682">
        <v>1590</v>
      </c>
      <c r="J938" s="668" t="str">
        <f t="shared" ref="J938:J939" si="149">E938</f>
        <v>(1) Miscellaneous Non-Public Expenditures</v>
      </c>
      <c r="L938" s="668">
        <v>139</v>
      </c>
      <c r="M938" s="669">
        <v>129</v>
      </c>
      <c r="N938" s="668"/>
      <c r="O938" s="668">
        <v>11</v>
      </c>
      <c r="P938" s="668" t="str">
        <f>IFERROR(VLOOKUP(F938, [2]MOE!B:C, 2, FALSE), "No")</f>
        <v>No</v>
      </c>
      <c r="Q938" s="711"/>
      <c r="S938" s="670" t="s">
        <v>1760</v>
      </c>
      <c r="T938" s="668" t="s">
        <v>1061</v>
      </c>
    </row>
    <row r="939" spans="1:20">
      <c r="A939" s="679">
        <v>8001590</v>
      </c>
      <c r="B939" s="677"/>
      <c r="C939" s="672"/>
      <c r="D939" s="672"/>
      <c r="E939" s="676" t="s">
        <v>1157</v>
      </c>
      <c r="F939" s="680" t="s">
        <v>1784</v>
      </c>
      <c r="G939" s="710">
        <v>800</v>
      </c>
      <c r="H939" s="682">
        <v>1590</v>
      </c>
      <c r="J939" s="668" t="str">
        <f t="shared" si="149"/>
        <v>(2) Other Miscellaneous Expenditures</v>
      </c>
      <c r="L939" s="668">
        <v>139</v>
      </c>
      <c r="M939" s="669">
        <v>129</v>
      </c>
      <c r="N939" s="668"/>
      <c r="O939" s="668">
        <v>11</v>
      </c>
      <c r="P939" s="668" t="str">
        <f>IFERROR(VLOOKUP(F939, [2]MOE!B:C, 2, FALSE), "No")</f>
        <v>No</v>
      </c>
      <c r="Q939" s="711"/>
      <c r="S939" s="670" t="s">
        <v>1760</v>
      </c>
      <c r="T939" s="668" t="s">
        <v>1063</v>
      </c>
    </row>
    <row r="940" spans="1:20">
      <c r="A940" s="671"/>
      <c r="B940" s="677"/>
      <c r="C940" s="672"/>
      <c r="D940" s="672" t="s">
        <v>859</v>
      </c>
      <c r="E940" s="676" t="s">
        <v>1065</v>
      </c>
      <c r="F940" s="675"/>
      <c r="G940" s="672"/>
      <c r="H940" s="676"/>
      <c r="Q940" s="711"/>
      <c r="S940" s="670"/>
    </row>
    <row r="941" spans="1:20">
      <c r="A941" s="679">
        <v>2101590</v>
      </c>
      <c r="B941" s="677"/>
      <c r="C941" s="672"/>
      <c r="D941" s="672"/>
      <c r="E941" s="676" t="s">
        <v>1159</v>
      </c>
      <c r="F941" s="680" t="s">
        <v>1785</v>
      </c>
      <c r="G941" s="710">
        <v>210</v>
      </c>
      <c r="H941" s="682">
        <v>1590</v>
      </c>
      <c r="J941" s="668" t="str">
        <f t="shared" ref="J941:J943" si="150">E941</f>
        <v>(1) Group Insurance</v>
      </c>
      <c r="L941" s="668">
        <v>89</v>
      </c>
      <c r="M941" s="669">
        <v>84</v>
      </c>
      <c r="N941" s="668"/>
      <c r="O941" s="668">
        <v>11</v>
      </c>
      <c r="P941" s="668" t="str">
        <f>IFERROR(VLOOKUP(F941, [2]MOE!B:C, 2, FALSE), "No")</f>
        <v>No</v>
      </c>
      <c r="Q941" s="711" t="s">
        <v>1004</v>
      </c>
      <c r="S941" s="670" t="s">
        <v>1760</v>
      </c>
      <c r="T941" s="668" t="s">
        <v>1066</v>
      </c>
    </row>
    <row r="942" spans="1:20">
      <c r="A942" s="679">
        <v>2201590</v>
      </c>
      <c r="B942" s="677"/>
      <c r="C942" s="672"/>
      <c r="D942" s="672"/>
      <c r="E942" s="676" t="s">
        <v>1161</v>
      </c>
      <c r="F942" s="680" t="s">
        <v>1786</v>
      </c>
      <c r="G942" s="710">
        <v>220</v>
      </c>
      <c r="H942" s="682">
        <v>1590</v>
      </c>
      <c r="J942" s="668" t="str">
        <f t="shared" si="150"/>
        <v>(2) FICA</v>
      </c>
      <c r="L942" s="668">
        <v>90</v>
      </c>
      <c r="M942" s="669">
        <v>85</v>
      </c>
      <c r="N942" s="668"/>
      <c r="O942" s="668">
        <v>11</v>
      </c>
      <c r="P942" s="668" t="str">
        <f>IFERROR(VLOOKUP(F942, [2]MOE!B:C, 2, FALSE), "No")</f>
        <v>No</v>
      </c>
      <c r="Q942" s="711" t="s">
        <v>1004</v>
      </c>
      <c r="S942" s="670" t="s">
        <v>1760</v>
      </c>
      <c r="T942" s="668" t="s">
        <v>1068</v>
      </c>
    </row>
    <row r="943" spans="1:20">
      <c r="A943" s="679">
        <v>2251590</v>
      </c>
      <c r="B943" s="677"/>
      <c r="C943" s="672"/>
      <c r="D943" s="672"/>
      <c r="E943" s="676" t="s">
        <v>1163</v>
      </c>
      <c r="F943" s="680" t="s">
        <v>1787</v>
      </c>
      <c r="G943" s="710">
        <v>225</v>
      </c>
      <c r="H943" s="682">
        <v>1590</v>
      </c>
      <c r="J943" s="668" t="str">
        <f t="shared" si="150"/>
        <v>(3) Medicare</v>
      </c>
      <c r="L943" s="668">
        <v>91</v>
      </c>
      <c r="M943" s="669">
        <v>86</v>
      </c>
      <c r="N943" s="668"/>
      <c r="O943" s="668">
        <v>11</v>
      </c>
      <c r="P943" s="668" t="str">
        <f>IFERROR(VLOOKUP(F943, [2]MOE!B:C, 2, FALSE), "No")</f>
        <v>No</v>
      </c>
      <c r="Q943" s="711" t="s">
        <v>1004</v>
      </c>
      <c r="S943" s="670" t="s">
        <v>1760</v>
      </c>
      <c r="T943" s="668" t="s">
        <v>23</v>
      </c>
    </row>
    <row r="944" spans="1:20">
      <c r="A944" s="671"/>
      <c r="B944" s="677"/>
      <c r="C944" s="672"/>
      <c r="D944" s="672"/>
      <c r="E944" s="676" t="s">
        <v>1165</v>
      </c>
      <c r="F944" s="675"/>
      <c r="G944" s="672"/>
      <c r="H944" s="676"/>
      <c r="Q944" s="711"/>
      <c r="S944" s="670"/>
    </row>
    <row r="945" spans="1:20">
      <c r="A945" s="679">
        <v>2311590</v>
      </c>
      <c r="B945" s="677"/>
      <c r="C945" s="672"/>
      <c r="D945" s="672"/>
      <c r="E945" s="676" t="s">
        <v>1166</v>
      </c>
      <c r="F945" s="680" t="s">
        <v>1788</v>
      </c>
      <c r="G945" s="710">
        <v>231</v>
      </c>
      <c r="H945" s="682">
        <v>1590</v>
      </c>
      <c r="J945" s="668" t="str">
        <f t="shared" ref="J945:J953" si="151">E945</f>
        <v>(a) Louisiana Teachers Retirement</v>
      </c>
      <c r="L945" s="668">
        <v>92</v>
      </c>
      <c r="M945" s="669">
        <v>87</v>
      </c>
      <c r="N945" s="668"/>
      <c r="O945" s="668">
        <v>11</v>
      </c>
      <c r="P945" s="668" t="str">
        <f>IFERROR(VLOOKUP(F945, [2]MOE!B:C, 2, FALSE), "No")</f>
        <v>No</v>
      </c>
      <c r="Q945" s="711" t="s">
        <v>1004</v>
      </c>
      <c r="S945" s="670" t="s">
        <v>1760</v>
      </c>
      <c r="T945" s="668" t="s">
        <v>1074</v>
      </c>
    </row>
    <row r="946" spans="1:20">
      <c r="A946" s="679">
        <v>2331590</v>
      </c>
      <c r="B946" s="677"/>
      <c r="C946" s="672"/>
      <c r="D946" s="672"/>
      <c r="E946" s="676" t="s">
        <v>1168</v>
      </c>
      <c r="F946" s="680" t="s">
        <v>1789</v>
      </c>
      <c r="G946" s="710">
        <v>233</v>
      </c>
      <c r="H946" s="682">
        <v>1590</v>
      </c>
      <c r="J946" s="668" t="str">
        <f t="shared" si="151"/>
        <v>(b) Louisiana School Emp. Retirement</v>
      </c>
      <c r="L946" s="668">
        <v>92</v>
      </c>
      <c r="M946" s="669">
        <v>87</v>
      </c>
      <c r="N946" s="668"/>
      <c r="O946" s="668">
        <v>11</v>
      </c>
      <c r="P946" s="668" t="str">
        <f>IFERROR(VLOOKUP(F946, [2]MOE!B:C, 2, FALSE), "No")</f>
        <v>No</v>
      </c>
      <c r="Q946" s="711" t="s">
        <v>1004</v>
      </c>
      <c r="S946" s="670" t="s">
        <v>1760</v>
      </c>
      <c r="T946" s="668" t="s">
        <v>1170</v>
      </c>
    </row>
    <row r="947" spans="1:20">
      <c r="A947" s="679">
        <v>2391590</v>
      </c>
      <c r="B947" s="677"/>
      <c r="C947" s="672"/>
      <c r="D947" s="672"/>
      <c r="E947" s="676" t="s">
        <v>1171</v>
      </c>
      <c r="F947" s="680" t="s">
        <v>1790</v>
      </c>
      <c r="G947" s="710">
        <v>239</v>
      </c>
      <c r="H947" s="682">
        <v>1590</v>
      </c>
      <c r="J947" s="668" t="str">
        <f t="shared" si="151"/>
        <v>(c) Other Retirement</v>
      </c>
      <c r="L947" s="668">
        <v>92</v>
      </c>
      <c r="M947" s="669">
        <v>87</v>
      </c>
      <c r="N947" s="668"/>
      <c r="O947" s="668">
        <v>11</v>
      </c>
      <c r="P947" s="668" t="str">
        <f>IFERROR(VLOOKUP(F947, [2]MOE!B:C, 2, FALSE), "No")</f>
        <v>No</v>
      </c>
      <c r="Q947" s="711" t="s">
        <v>1004</v>
      </c>
      <c r="S947" s="670" t="s">
        <v>1760</v>
      </c>
      <c r="T947" s="668" t="s">
        <v>1080</v>
      </c>
    </row>
    <row r="948" spans="1:20">
      <c r="A948" s="679">
        <v>2501590</v>
      </c>
      <c r="B948" s="677"/>
      <c r="C948" s="672"/>
      <c r="D948" s="672"/>
      <c r="E948" s="676" t="s">
        <v>1173</v>
      </c>
      <c r="F948" s="680" t="s">
        <v>1791</v>
      </c>
      <c r="G948" s="710">
        <v>250</v>
      </c>
      <c r="H948" s="682">
        <v>1590</v>
      </c>
      <c r="J948" s="668" t="str">
        <f t="shared" si="151"/>
        <v>(5) Unemployment Compensation</v>
      </c>
      <c r="L948" s="668">
        <v>93</v>
      </c>
      <c r="M948" s="669">
        <v>88</v>
      </c>
      <c r="N948" s="668"/>
      <c r="O948" s="668">
        <v>11</v>
      </c>
      <c r="P948" s="668" t="str">
        <f>IFERROR(VLOOKUP(F948, [2]MOE!B:C, 2, FALSE), "No")</f>
        <v>No</v>
      </c>
      <c r="Q948" s="711" t="s">
        <v>1004</v>
      </c>
      <c r="S948" s="670" t="s">
        <v>1760</v>
      </c>
      <c r="T948" s="668" t="s">
        <v>1081</v>
      </c>
    </row>
    <row r="949" spans="1:20">
      <c r="A949" s="679">
        <v>2601590</v>
      </c>
      <c r="B949" s="677"/>
      <c r="C949" s="672"/>
      <c r="D949" s="672"/>
      <c r="E949" s="676" t="s">
        <v>1175</v>
      </c>
      <c r="F949" s="680" t="s">
        <v>1792</v>
      </c>
      <c r="G949" s="710">
        <v>260</v>
      </c>
      <c r="H949" s="682">
        <v>1590</v>
      </c>
      <c r="J949" s="668" t="str">
        <f t="shared" si="151"/>
        <v>(6) Workmen's Compensation</v>
      </c>
      <c r="L949" s="668">
        <v>95</v>
      </c>
      <c r="M949" s="669">
        <v>90</v>
      </c>
      <c r="N949" s="668"/>
      <c r="O949" s="668">
        <v>11</v>
      </c>
      <c r="P949" s="668" t="str">
        <f>IFERROR(VLOOKUP(F949, [2]MOE!B:C, 2, FALSE), "No")</f>
        <v>No</v>
      </c>
      <c r="Q949" s="711" t="s">
        <v>1004</v>
      </c>
      <c r="S949" s="670" t="s">
        <v>1760</v>
      </c>
      <c r="T949" s="668" t="s">
        <v>1083</v>
      </c>
    </row>
    <row r="950" spans="1:20">
      <c r="A950" s="679">
        <v>2701590</v>
      </c>
      <c r="B950" s="677"/>
      <c r="C950" s="672"/>
      <c r="D950" s="672"/>
      <c r="E950" s="676" t="s">
        <v>1177</v>
      </c>
      <c r="F950" s="680" t="s">
        <v>1793</v>
      </c>
      <c r="G950" s="710">
        <v>270</v>
      </c>
      <c r="H950" s="682">
        <v>1590</v>
      </c>
      <c r="J950" s="668" t="str">
        <f t="shared" si="151"/>
        <v>(7) Health Benefits (retirees)</v>
      </c>
      <c r="L950" s="668">
        <v>94</v>
      </c>
      <c r="M950" s="669">
        <v>89</v>
      </c>
      <c r="N950" s="668"/>
      <c r="O950" s="668">
        <v>11</v>
      </c>
      <c r="P950" s="668" t="str">
        <f>IFERROR(VLOOKUP(F950, [2]MOE!B:C, 2, FALSE), "No")</f>
        <v>No</v>
      </c>
      <c r="Q950" s="711" t="s">
        <v>1004</v>
      </c>
      <c r="S950" s="670" t="s">
        <v>1760</v>
      </c>
      <c r="T950" s="668" t="s">
        <v>1085</v>
      </c>
    </row>
    <row r="951" spans="1:20">
      <c r="A951" s="679">
        <v>2811590</v>
      </c>
      <c r="B951" s="677"/>
      <c r="C951" s="672"/>
      <c r="D951" s="672"/>
      <c r="E951" s="676" t="s">
        <v>1179</v>
      </c>
      <c r="F951" s="680" t="s">
        <v>1794</v>
      </c>
      <c r="G951" s="710">
        <v>281</v>
      </c>
      <c r="H951" s="682">
        <v>1590</v>
      </c>
      <c r="J951" s="668" t="str">
        <f t="shared" si="151"/>
        <v>(8) Sick Leave Severance Pay</v>
      </c>
      <c r="L951" s="668">
        <v>95</v>
      </c>
      <c r="M951" s="669">
        <v>90</v>
      </c>
      <c r="N951" s="668"/>
      <c r="O951" s="668">
        <v>11</v>
      </c>
      <c r="P951" s="668" t="str">
        <f>IFERROR(VLOOKUP(F951, [2]MOE!B:C, 2, FALSE), "No")</f>
        <v>No</v>
      </c>
      <c r="Q951" s="711" t="s">
        <v>1004</v>
      </c>
      <c r="S951" s="670" t="s">
        <v>1760</v>
      </c>
      <c r="T951" s="668" t="s">
        <v>1087</v>
      </c>
    </row>
    <row r="952" spans="1:20">
      <c r="A952" s="679">
        <v>2821590</v>
      </c>
      <c r="B952" s="677"/>
      <c r="C952" s="672"/>
      <c r="D952" s="672"/>
      <c r="E952" s="676" t="s">
        <v>1181</v>
      </c>
      <c r="F952" s="680" t="s">
        <v>1795</v>
      </c>
      <c r="G952" s="710">
        <v>282</v>
      </c>
      <c r="H952" s="682">
        <v>1590</v>
      </c>
      <c r="J952" s="668" t="str">
        <f t="shared" si="151"/>
        <v>(9) Annual Leave Severance Pay</v>
      </c>
      <c r="L952" s="668">
        <v>95</v>
      </c>
      <c r="M952" s="669">
        <v>90</v>
      </c>
      <c r="N952" s="668"/>
      <c r="O952" s="668">
        <v>11</v>
      </c>
      <c r="P952" s="668" t="str">
        <f>IFERROR(VLOOKUP(F952, [2]MOE!B:C, 2, FALSE), "No")</f>
        <v>No</v>
      </c>
      <c r="Q952" s="711" t="s">
        <v>1004</v>
      </c>
      <c r="S952" s="670" t="s">
        <v>1760</v>
      </c>
      <c r="T952" s="668" t="s">
        <v>1089</v>
      </c>
    </row>
    <row r="953" spans="1:20" ht="16" thickBot="1">
      <c r="A953" s="679">
        <v>2901590</v>
      </c>
      <c r="B953" s="716"/>
      <c r="C953" s="672"/>
      <c r="D953" s="672"/>
      <c r="E953" s="676" t="s">
        <v>1183</v>
      </c>
      <c r="F953" s="683" t="s">
        <v>1796</v>
      </c>
      <c r="G953" s="678">
        <v>290</v>
      </c>
      <c r="H953" s="684">
        <v>1590</v>
      </c>
      <c r="J953" s="668" t="str">
        <f t="shared" si="151"/>
        <v>(10) Other Employee Benefits</v>
      </c>
      <c r="L953" s="668">
        <v>95</v>
      </c>
      <c r="M953" s="669">
        <v>90</v>
      </c>
      <c r="N953" s="668"/>
      <c r="O953" s="668">
        <v>12</v>
      </c>
      <c r="P953" s="668" t="str">
        <f>IFERROR(VLOOKUP(F953, [2]MOE!B:C, 2, FALSE), "No")</f>
        <v>No</v>
      </c>
      <c r="Q953" s="711" t="s">
        <v>1004</v>
      </c>
      <c r="S953" s="670" t="s">
        <v>1760</v>
      </c>
      <c r="T953" s="668" t="s">
        <v>1092</v>
      </c>
    </row>
    <row r="954" spans="1:20" ht="16.5" thickTop="1" thickBot="1">
      <c r="A954" s="671"/>
      <c r="B954" s="663"/>
      <c r="C954" s="929" t="s">
        <v>1797</v>
      </c>
      <c r="D954" s="930"/>
      <c r="E954" s="932"/>
      <c r="F954" s="705" t="s">
        <v>625</v>
      </c>
      <c r="G954" s="706"/>
      <c r="H954" s="707"/>
      <c r="Q954" s="711"/>
      <c r="S954" s="670"/>
    </row>
    <row r="955" spans="1:20" ht="16" thickTop="1">
      <c r="A955" s="671"/>
      <c r="B955" s="672"/>
      <c r="C955" s="672"/>
      <c r="D955" s="672"/>
      <c r="E955" s="676"/>
      <c r="F955" s="675"/>
      <c r="G955" s="672"/>
      <c r="H955" s="676"/>
      <c r="Q955" s="711"/>
      <c r="S955" s="670"/>
    </row>
    <row r="956" spans="1:20">
      <c r="A956" s="671"/>
      <c r="B956" s="677" t="s">
        <v>1798</v>
      </c>
      <c r="C956" s="921" t="s">
        <v>1799</v>
      </c>
      <c r="D956" s="795"/>
      <c r="E956" s="926"/>
      <c r="F956" s="675"/>
      <c r="G956" s="672"/>
      <c r="H956" s="676"/>
      <c r="Q956" s="711"/>
      <c r="S956" s="670"/>
    </row>
    <row r="957" spans="1:20">
      <c r="A957" s="671"/>
      <c r="B957" s="677"/>
      <c r="C957" s="678">
        <v>31</v>
      </c>
      <c r="D957" s="927" t="s">
        <v>244</v>
      </c>
      <c r="E957" s="926"/>
      <c r="F957" s="675"/>
      <c r="G957" s="672"/>
      <c r="H957" s="676"/>
      <c r="Q957" s="711"/>
      <c r="S957" s="670"/>
    </row>
    <row r="958" spans="1:20">
      <c r="A958" s="679">
        <v>1121600</v>
      </c>
      <c r="B958" s="677"/>
      <c r="C958" s="672"/>
      <c r="D958" s="672" t="s">
        <v>759</v>
      </c>
      <c r="E958" s="676" t="s">
        <v>5</v>
      </c>
      <c r="F958" s="680" t="s">
        <v>1800</v>
      </c>
      <c r="G958" s="710">
        <v>112</v>
      </c>
      <c r="H958" s="682">
        <v>1600</v>
      </c>
      <c r="J958" s="668" t="str">
        <f t="shared" ref="J958:J963" si="152">E958</f>
        <v>Teachers</v>
      </c>
      <c r="L958" s="668">
        <v>82</v>
      </c>
      <c r="M958" s="669">
        <v>77</v>
      </c>
      <c r="N958" s="668"/>
      <c r="O958" s="668">
        <v>12</v>
      </c>
      <c r="P958" s="668" t="str">
        <f>IFERROR(VLOOKUP(F958, [2]MOE!B:C, 2, FALSE), "No")</f>
        <v>No</v>
      </c>
      <c r="Q958" s="711" t="s">
        <v>1004</v>
      </c>
      <c r="S958" s="670" t="s">
        <v>1801</v>
      </c>
      <c r="T958" s="668" t="s">
        <v>5</v>
      </c>
    </row>
    <row r="959" spans="1:20">
      <c r="A959" s="679">
        <v>1151600</v>
      </c>
      <c r="B959" s="677"/>
      <c r="C959" s="672"/>
      <c r="D959" s="672" t="s">
        <v>777</v>
      </c>
      <c r="E959" s="676" t="s">
        <v>1102</v>
      </c>
      <c r="F959" s="680" t="s">
        <v>1802</v>
      </c>
      <c r="G959" s="710">
        <v>115</v>
      </c>
      <c r="H959" s="682">
        <v>1600</v>
      </c>
      <c r="J959" s="668" t="str">
        <f t="shared" si="152"/>
        <v>Para-professionals (Aides)</v>
      </c>
      <c r="L959" s="668">
        <v>86</v>
      </c>
      <c r="M959" s="669">
        <v>81</v>
      </c>
      <c r="N959" s="668"/>
      <c r="O959" s="668">
        <v>12</v>
      </c>
      <c r="P959" s="668" t="str">
        <f>IFERROR(VLOOKUP(F959, [2]MOE!B:C, 2, FALSE), "No")</f>
        <v>No</v>
      </c>
      <c r="Q959" s="711" t="s">
        <v>1004</v>
      </c>
      <c r="S959" s="670" t="s">
        <v>1801</v>
      </c>
      <c r="T959" s="668" t="s">
        <v>1102</v>
      </c>
    </row>
    <row r="960" spans="1:20">
      <c r="A960" s="679">
        <v>1231600</v>
      </c>
      <c r="B960" s="677"/>
      <c r="C960" s="672"/>
      <c r="D960" s="672" t="s">
        <v>801</v>
      </c>
      <c r="E960" s="676" t="s">
        <v>1105</v>
      </c>
      <c r="F960" s="680" t="s">
        <v>1803</v>
      </c>
      <c r="G960" s="710">
        <v>123</v>
      </c>
      <c r="H960" s="682">
        <v>1600</v>
      </c>
      <c r="J960" s="668" t="str">
        <f t="shared" si="152"/>
        <v>Substitute Teachers</v>
      </c>
      <c r="L960" s="668">
        <v>86</v>
      </c>
      <c r="M960" s="669">
        <v>81</v>
      </c>
      <c r="N960" s="668"/>
      <c r="O960" s="668">
        <v>12</v>
      </c>
      <c r="P960" s="668" t="str">
        <f>IFERROR(VLOOKUP(F960, [2]MOE!B:C, 2, FALSE), "No")</f>
        <v>No</v>
      </c>
      <c r="Q960" s="711" t="s">
        <v>1004</v>
      </c>
      <c r="S960" s="670" t="s">
        <v>1801</v>
      </c>
      <c r="T960" s="668" t="s">
        <v>1105</v>
      </c>
    </row>
    <row r="961" spans="1:20">
      <c r="A961" s="679">
        <v>1201600</v>
      </c>
      <c r="B961" s="677"/>
      <c r="C961" s="672"/>
      <c r="D961" s="672" t="s">
        <v>805</v>
      </c>
      <c r="E961" s="676" t="s">
        <v>1108</v>
      </c>
      <c r="F961" s="680" t="s">
        <v>1804</v>
      </c>
      <c r="G961" s="710">
        <v>120</v>
      </c>
      <c r="H961" s="682">
        <v>1600</v>
      </c>
      <c r="J961" s="668" t="str">
        <f t="shared" si="152"/>
        <v>Other Substitute/Temp. Employees</v>
      </c>
      <c r="L961" s="668">
        <v>86</v>
      </c>
      <c r="M961" s="669">
        <v>81</v>
      </c>
      <c r="N961" s="668"/>
      <c r="O961" s="668">
        <v>12</v>
      </c>
      <c r="P961" s="668" t="str">
        <f>IFERROR(VLOOKUP(F961, [2]MOE!B:C, 2, FALSE), "No")</f>
        <v>No</v>
      </c>
      <c r="Q961" s="711" t="s">
        <v>1004</v>
      </c>
      <c r="S961" s="670" t="s">
        <v>1801</v>
      </c>
      <c r="T961" s="668" t="s">
        <v>1108</v>
      </c>
    </row>
    <row r="962" spans="1:20">
      <c r="A962" s="679">
        <v>1001600</v>
      </c>
      <c r="B962" s="677"/>
      <c r="C962" s="672"/>
      <c r="D962" s="672" t="s">
        <v>850</v>
      </c>
      <c r="E962" s="676" t="s">
        <v>1017</v>
      </c>
      <c r="F962" s="680" t="s">
        <v>1805</v>
      </c>
      <c r="G962" s="710">
        <v>100</v>
      </c>
      <c r="H962" s="682">
        <v>1600</v>
      </c>
      <c r="J962" s="668" t="str">
        <f t="shared" si="152"/>
        <v>Other Instructional Salaries</v>
      </c>
      <c r="L962" s="668">
        <v>86</v>
      </c>
      <c r="M962" s="669">
        <v>81</v>
      </c>
      <c r="N962" s="668"/>
      <c r="O962" s="668">
        <v>12</v>
      </c>
      <c r="P962" s="668" t="str">
        <f>IFERROR(VLOOKUP(F962, [2]MOE!B:C, 2, FALSE), "No")</f>
        <v>No</v>
      </c>
      <c r="Q962" s="711" t="s">
        <v>1004</v>
      </c>
      <c r="S962" s="670" t="s">
        <v>1801</v>
      </c>
      <c r="T962" s="668" t="s">
        <v>1017</v>
      </c>
    </row>
    <row r="963" spans="1:20">
      <c r="A963" s="679">
        <v>1401600</v>
      </c>
      <c r="B963" s="677"/>
      <c r="C963" s="672"/>
      <c r="D963" s="672" t="s">
        <v>853</v>
      </c>
      <c r="E963" s="676" t="s">
        <v>1019</v>
      </c>
      <c r="F963" s="680" t="s">
        <v>1806</v>
      </c>
      <c r="G963" s="710">
        <v>140</v>
      </c>
      <c r="H963" s="682">
        <v>1600</v>
      </c>
      <c r="J963" s="668" t="str">
        <f t="shared" si="152"/>
        <v>Sabbatical Leave</v>
      </c>
      <c r="L963" s="668">
        <v>86</v>
      </c>
      <c r="M963" s="669">
        <v>81</v>
      </c>
      <c r="N963" s="668"/>
      <c r="O963" s="668">
        <v>12</v>
      </c>
      <c r="P963" s="668" t="str">
        <f>IFERROR(VLOOKUP(F963, [2]MOE!B:C, 2, FALSE), "No")</f>
        <v>No</v>
      </c>
      <c r="Q963" s="711" t="s">
        <v>1004</v>
      </c>
      <c r="S963" s="670" t="s">
        <v>1801</v>
      </c>
      <c r="T963" s="668" t="s">
        <v>1019</v>
      </c>
    </row>
    <row r="964" spans="1:20">
      <c r="A964" s="679">
        <v>3001600</v>
      </c>
      <c r="B964" s="677"/>
      <c r="C964" s="678">
        <v>32</v>
      </c>
      <c r="D964" s="927" t="s">
        <v>1113</v>
      </c>
      <c r="E964" s="926"/>
      <c r="F964" s="680" t="s">
        <v>1807</v>
      </c>
      <c r="G964" s="710">
        <v>300</v>
      </c>
      <c r="H964" s="682">
        <v>1600</v>
      </c>
      <c r="J964" s="668" t="str">
        <f>D964</f>
        <v>Purchased Professional and Technical Svcs</v>
      </c>
      <c r="L964" s="668">
        <v>101</v>
      </c>
      <c r="M964" s="669">
        <v>96</v>
      </c>
      <c r="N964" s="668"/>
      <c r="O964" s="668">
        <v>12</v>
      </c>
      <c r="P964" s="668" t="str">
        <f>IFERROR(VLOOKUP(F964, [2]MOE!B:C, 2, FALSE), "No")</f>
        <v>No</v>
      </c>
      <c r="Q964" s="711"/>
      <c r="S964" s="670" t="s">
        <v>1801</v>
      </c>
      <c r="T964" s="668" t="s">
        <v>1113</v>
      </c>
    </row>
    <row r="965" spans="1:20">
      <c r="A965" s="671"/>
      <c r="B965" s="677"/>
      <c r="C965" s="678">
        <v>33</v>
      </c>
      <c r="D965" s="927" t="s">
        <v>250</v>
      </c>
      <c r="E965" s="926"/>
      <c r="F965" s="675"/>
      <c r="G965" s="672"/>
      <c r="H965" s="676"/>
      <c r="Q965" s="711"/>
      <c r="S965" s="670"/>
    </row>
    <row r="966" spans="1:20">
      <c r="A966" s="679">
        <v>4301600</v>
      </c>
      <c r="B966" s="677"/>
      <c r="C966" s="672"/>
      <c r="D966" s="672" t="s">
        <v>759</v>
      </c>
      <c r="E966" s="676" t="s">
        <v>1023</v>
      </c>
      <c r="F966" s="680" t="s">
        <v>1808</v>
      </c>
      <c r="G966" s="710">
        <v>430</v>
      </c>
      <c r="H966" s="682">
        <v>1600</v>
      </c>
      <c r="J966" s="668" t="str">
        <f t="shared" ref="J966:J968" si="153">E966</f>
        <v>Repairs and Maintenance Services</v>
      </c>
      <c r="L966" s="668">
        <v>107</v>
      </c>
      <c r="M966" s="669">
        <v>102</v>
      </c>
      <c r="N966" s="668"/>
      <c r="O966" s="668">
        <v>12</v>
      </c>
      <c r="P966" s="668" t="str">
        <f>IFERROR(VLOOKUP(F966, [2]MOE!B:C, 2, FALSE), "No")</f>
        <v>No</v>
      </c>
      <c r="Q966" s="711"/>
      <c r="S966" s="670" t="s">
        <v>1801</v>
      </c>
      <c r="T966" s="668" t="s">
        <v>1023</v>
      </c>
    </row>
    <row r="967" spans="1:20">
      <c r="A967" s="679">
        <v>4421600</v>
      </c>
      <c r="B967" s="677"/>
      <c r="C967" s="672"/>
      <c r="D967" s="672" t="s">
        <v>777</v>
      </c>
      <c r="E967" s="676" t="s">
        <v>1025</v>
      </c>
      <c r="F967" s="680" t="s">
        <v>1809</v>
      </c>
      <c r="G967" s="710">
        <v>442</v>
      </c>
      <c r="H967" s="682">
        <v>1600</v>
      </c>
      <c r="J967" s="668" t="str">
        <f t="shared" si="153"/>
        <v>Rental of Equipment</v>
      </c>
      <c r="L967" s="668">
        <v>106</v>
      </c>
      <c r="M967" s="669">
        <v>101</v>
      </c>
      <c r="N967" s="668"/>
      <c r="O967" s="668">
        <v>12</v>
      </c>
      <c r="P967" s="668" t="str">
        <f>IFERROR(VLOOKUP(F967, [2]MOE!B:C, 2, FALSE), "No")</f>
        <v>No</v>
      </c>
      <c r="Q967" s="711"/>
      <c r="S967" s="670" t="s">
        <v>1801</v>
      </c>
      <c r="T967" s="668" t="s">
        <v>1025</v>
      </c>
    </row>
    <row r="968" spans="1:20">
      <c r="A968" s="679">
        <v>4001600</v>
      </c>
      <c r="B968" s="677"/>
      <c r="C968" s="672"/>
      <c r="D968" s="672" t="s">
        <v>801</v>
      </c>
      <c r="E968" s="676" t="s">
        <v>1027</v>
      </c>
      <c r="F968" s="680" t="s">
        <v>1810</v>
      </c>
      <c r="G968" s="710">
        <v>400</v>
      </c>
      <c r="H968" s="682">
        <v>1600</v>
      </c>
      <c r="J968" s="668" t="str">
        <f t="shared" si="153"/>
        <v>Other Purchased Property Services</v>
      </c>
      <c r="L968" s="668">
        <v>108</v>
      </c>
      <c r="M968" s="669">
        <v>103</v>
      </c>
      <c r="N968" s="668"/>
      <c r="O968" s="668">
        <v>12</v>
      </c>
      <c r="P968" s="668" t="str">
        <f>IFERROR(VLOOKUP(F968, [2]MOE!B:C, 2, FALSE), "No")</f>
        <v>No</v>
      </c>
      <c r="Q968" s="711"/>
      <c r="S968" s="670" t="s">
        <v>1801</v>
      </c>
      <c r="T968" s="668" t="s">
        <v>1027</v>
      </c>
    </row>
    <row r="969" spans="1:20">
      <c r="A969" s="671"/>
      <c r="B969" s="677"/>
      <c r="C969" s="678">
        <v>34</v>
      </c>
      <c r="D969" s="927" t="s">
        <v>252</v>
      </c>
      <c r="E969" s="926"/>
      <c r="F969" s="675"/>
      <c r="G969" s="672"/>
      <c r="H969" s="676"/>
      <c r="Q969" s="711"/>
      <c r="S969" s="670"/>
    </row>
    <row r="970" spans="1:20">
      <c r="A970" s="671"/>
      <c r="B970" s="677"/>
      <c r="C970" s="672"/>
      <c r="D970" s="672" t="s">
        <v>759</v>
      </c>
      <c r="E970" s="676" t="s">
        <v>1029</v>
      </c>
      <c r="F970" s="675"/>
      <c r="G970" s="672"/>
      <c r="H970" s="676"/>
      <c r="Q970" s="711"/>
      <c r="S970" s="670"/>
    </row>
    <row r="971" spans="1:20">
      <c r="A971" s="679">
        <v>5611600</v>
      </c>
      <c r="B971" s="677"/>
      <c r="C971" s="672"/>
      <c r="D971" s="672"/>
      <c r="E971" s="676" t="s">
        <v>1030</v>
      </c>
      <c r="F971" s="680" t="s">
        <v>1811</v>
      </c>
      <c r="G971" s="710">
        <v>561</v>
      </c>
      <c r="H971" s="682">
        <v>1600</v>
      </c>
      <c r="J971" s="668" t="str">
        <f t="shared" ref="J971:J975" si="154">E971</f>
        <v>(1) Paid to Other LEA (In-State)</v>
      </c>
      <c r="L971" s="668">
        <v>119</v>
      </c>
      <c r="M971" s="669">
        <v>110</v>
      </c>
      <c r="N971" s="668"/>
      <c r="O971" s="668">
        <v>12</v>
      </c>
      <c r="P971" s="668" t="str">
        <f>IFERROR(VLOOKUP(F971, [2]MOE!B:C, 2, FALSE), "No")</f>
        <v>No</v>
      </c>
      <c r="Q971" s="711"/>
      <c r="S971" s="670" t="s">
        <v>1801</v>
      </c>
      <c r="T971" s="668" t="s">
        <v>1032</v>
      </c>
    </row>
    <row r="972" spans="1:20">
      <c r="A972" s="679">
        <v>5621600</v>
      </c>
      <c r="B972" s="677"/>
      <c r="C972" s="672"/>
      <c r="D972" s="672"/>
      <c r="E972" s="676" t="s">
        <v>1033</v>
      </c>
      <c r="F972" s="680" t="s">
        <v>1812</v>
      </c>
      <c r="G972" s="710">
        <v>562</v>
      </c>
      <c r="H972" s="682">
        <v>1600</v>
      </c>
      <c r="J972" s="668" t="str">
        <f t="shared" si="154"/>
        <v>(2) Paid to Other LEA (Out-of-State)</v>
      </c>
      <c r="L972" s="668">
        <v>119</v>
      </c>
      <c r="M972" s="669">
        <v>110</v>
      </c>
      <c r="N972" s="668"/>
      <c r="O972" s="668">
        <v>12</v>
      </c>
      <c r="P972" s="668" t="str">
        <f>IFERROR(VLOOKUP(F972, [2]MOE!B:C, 2, FALSE), "No")</f>
        <v>No</v>
      </c>
      <c r="Q972" s="711"/>
      <c r="S972" s="670" t="s">
        <v>1801</v>
      </c>
      <c r="T972" s="668" t="s">
        <v>1035</v>
      </c>
    </row>
    <row r="973" spans="1:20">
      <c r="A973" s="679">
        <v>5631600</v>
      </c>
      <c r="B973" s="677"/>
      <c r="C973" s="672"/>
      <c r="D973" s="672"/>
      <c r="E973" s="676" t="s">
        <v>1036</v>
      </c>
      <c r="F973" s="680" t="s">
        <v>1813</v>
      </c>
      <c r="G973" s="710">
        <v>563</v>
      </c>
      <c r="H973" s="682">
        <v>1600</v>
      </c>
      <c r="J973" s="668" t="str">
        <f t="shared" si="154"/>
        <v>(3) Paid to Private Sources</v>
      </c>
      <c r="L973" s="668">
        <v>119</v>
      </c>
      <c r="M973" s="669">
        <v>110</v>
      </c>
      <c r="N973" s="668"/>
      <c r="O973" s="668">
        <v>12</v>
      </c>
      <c r="P973" s="668" t="str">
        <f>IFERROR(VLOOKUP(F973, [2]MOE!B:C, 2, FALSE), "No")</f>
        <v>No</v>
      </c>
      <c r="Q973" s="711"/>
      <c r="S973" s="670" t="s">
        <v>1801</v>
      </c>
      <c r="T973" s="668" t="s">
        <v>1038</v>
      </c>
    </row>
    <row r="974" spans="1:20">
      <c r="A974" s="679">
        <v>5821600</v>
      </c>
      <c r="B974" s="677"/>
      <c r="C974" s="672"/>
      <c r="D974" s="672" t="s">
        <v>777</v>
      </c>
      <c r="E974" s="676" t="s">
        <v>1039</v>
      </c>
      <c r="F974" s="680" t="s">
        <v>1814</v>
      </c>
      <c r="G974" s="710">
        <v>582</v>
      </c>
      <c r="H974" s="682">
        <v>1600</v>
      </c>
      <c r="J974" s="668" t="str">
        <f t="shared" si="154"/>
        <v>Travel Expense Reimbursement</v>
      </c>
      <c r="L974" s="668">
        <v>118</v>
      </c>
      <c r="M974" s="669">
        <v>109</v>
      </c>
      <c r="N974" s="668"/>
      <c r="O974" s="668">
        <v>12</v>
      </c>
      <c r="P974" s="668" t="str">
        <f>IFERROR(VLOOKUP(F974, [2]MOE!B:C, 2, FALSE), "No")</f>
        <v>No</v>
      </c>
      <c r="Q974" s="711"/>
      <c r="S974" s="670" t="s">
        <v>1801</v>
      </c>
      <c r="T974" s="668" t="s">
        <v>1039</v>
      </c>
    </row>
    <row r="975" spans="1:20">
      <c r="A975" s="679">
        <v>5001600</v>
      </c>
      <c r="B975" s="677"/>
      <c r="C975" s="672"/>
      <c r="D975" s="672" t="s">
        <v>801</v>
      </c>
      <c r="E975" s="676" t="s">
        <v>252</v>
      </c>
      <c r="F975" s="680" t="s">
        <v>1815</v>
      </c>
      <c r="G975" s="710">
        <v>500</v>
      </c>
      <c r="H975" s="682">
        <v>1600</v>
      </c>
      <c r="J975" s="668" t="str">
        <f t="shared" si="154"/>
        <v>Other Purchased Services</v>
      </c>
      <c r="L975" s="668">
        <v>119</v>
      </c>
      <c r="M975" s="669">
        <v>110</v>
      </c>
      <c r="N975" s="668"/>
      <c r="O975" s="668">
        <v>12</v>
      </c>
      <c r="P975" s="668" t="str">
        <f>IFERROR(VLOOKUP(F975, [2]MOE!B:C, 2, FALSE), "No")</f>
        <v>No</v>
      </c>
      <c r="Q975" s="711"/>
      <c r="S975" s="670" t="s">
        <v>1801</v>
      </c>
      <c r="T975" s="668" t="s">
        <v>252</v>
      </c>
    </row>
    <row r="976" spans="1:20">
      <c r="A976" s="671"/>
      <c r="B976" s="677"/>
      <c r="C976" s="678">
        <v>35</v>
      </c>
      <c r="D976" s="927" t="s">
        <v>1042</v>
      </c>
      <c r="E976" s="926"/>
      <c r="F976" s="675"/>
      <c r="G976" s="672"/>
      <c r="H976" s="676"/>
      <c r="Q976" s="711"/>
      <c r="S976" s="670"/>
    </row>
    <row r="977" spans="1:20">
      <c r="A977" s="679">
        <v>6151600</v>
      </c>
      <c r="B977" s="677"/>
      <c r="C977" s="672"/>
      <c r="D977" s="672" t="s">
        <v>759</v>
      </c>
      <c r="E977" s="676" t="s">
        <v>1043</v>
      </c>
      <c r="F977" s="680" t="s">
        <v>1816</v>
      </c>
      <c r="G977" s="710">
        <v>615</v>
      </c>
      <c r="H977" s="682">
        <v>1600</v>
      </c>
      <c r="J977" s="668" t="str">
        <f t="shared" ref="J977:J980" si="155">E977</f>
        <v>Technology-Related Supplies</v>
      </c>
      <c r="L977" s="668">
        <v>126</v>
      </c>
      <c r="M977" s="669">
        <v>117</v>
      </c>
      <c r="N977" s="668"/>
      <c r="O977" s="668">
        <v>12</v>
      </c>
      <c r="P977" s="668" t="str">
        <f>IFERROR(VLOOKUP(F977, [2]MOE!B:C, 2, FALSE), "No")</f>
        <v>No</v>
      </c>
      <c r="Q977" s="711" t="s">
        <v>1045</v>
      </c>
      <c r="S977" s="670" t="s">
        <v>1801</v>
      </c>
      <c r="T977" s="668" t="s">
        <v>1043</v>
      </c>
    </row>
    <row r="978" spans="1:20">
      <c r="A978" s="679">
        <v>6101600</v>
      </c>
      <c r="B978" s="677"/>
      <c r="C978" s="672"/>
      <c r="D978" s="672" t="s">
        <v>777</v>
      </c>
      <c r="E978" s="676" t="s">
        <v>39</v>
      </c>
      <c r="F978" s="680" t="s">
        <v>1817</v>
      </c>
      <c r="G978" s="710">
        <v>610</v>
      </c>
      <c r="H978" s="682">
        <v>1600</v>
      </c>
      <c r="J978" s="668" t="str">
        <f t="shared" si="155"/>
        <v>Materials and Supplies</v>
      </c>
      <c r="L978" s="668">
        <v>122</v>
      </c>
      <c r="M978" s="669">
        <v>113</v>
      </c>
      <c r="N978" s="668"/>
      <c r="O978" s="668">
        <v>12</v>
      </c>
      <c r="P978" s="668" t="str">
        <f>IFERROR(VLOOKUP(F978, [2]MOE!B:C, 2, FALSE), "No")</f>
        <v>No</v>
      </c>
      <c r="Q978" s="711" t="s">
        <v>1045</v>
      </c>
      <c r="S978" s="670" t="s">
        <v>1801</v>
      </c>
      <c r="T978" s="668" t="s">
        <v>39</v>
      </c>
    </row>
    <row r="979" spans="1:20">
      <c r="A979" s="679">
        <v>6421600</v>
      </c>
      <c r="B979" s="677"/>
      <c r="C979" s="672"/>
      <c r="D979" s="672" t="s">
        <v>801</v>
      </c>
      <c r="E979" s="676" t="s">
        <v>1048</v>
      </c>
      <c r="F979" s="680" t="s">
        <v>1818</v>
      </c>
      <c r="G979" s="710">
        <v>642</v>
      </c>
      <c r="H979" s="682">
        <v>1600</v>
      </c>
      <c r="J979" s="668" t="str">
        <f t="shared" si="155"/>
        <v>Textbooks/Workbooks</v>
      </c>
      <c r="L979" s="668">
        <v>125</v>
      </c>
      <c r="M979" s="669">
        <v>116</v>
      </c>
      <c r="N979" s="668"/>
      <c r="O979" s="668">
        <v>12</v>
      </c>
      <c r="P979" s="668" t="str">
        <f>IFERROR(VLOOKUP(F979, [2]MOE!B:C, 2, FALSE), "No")</f>
        <v>No</v>
      </c>
      <c r="Q979" s="711" t="s">
        <v>1045</v>
      </c>
      <c r="S979" s="670" t="s">
        <v>1801</v>
      </c>
      <c r="T979" s="668" t="s">
        <v>1048</v>
      </c>
    </row>
    <row r="980" spans="1:20">
      <c r="A980" s="679">
        <v>6001600</v>
      </c>
      <c r="B980" s="677"/>
      <c r="C980" s="672"/>
      <c r="D980" s="672" t="s">
        <v>805</v>
      </c>
      <c r="E980" s="676" t="s">
        <v>1050</v>
      </c>
      <c r="F980" s="680" t="s">
        <v>1819</v>
      </c>
      <c r="G980" s="710">
        <v>600</v>
      </c>
      <c r="H980" s="682">
        <v>1600</v>
      </c>
      <c r="J980" s="668" t="str">
        <f t="shared" si="155"/>
        <v>Other Supplies</v>
      </c>
      <c r="L980" s="668">
        <v>126</v>
      </c>
      <c r="M980" s="669">
        <v>117</v>
      </c>
      <c r="N980" s="668"/>
      <c r="O980" s="668">
        <v>12</v>
      </c>
      <c r="P980" s="668" t="str">
        <f>IFERROR(VLOOKUP(F980, [2]MOE!B:C, 2, FALSE), "No")</f>
        <v>No</v>
      </c>
      <c r="Q980" s="711"/>
      <c r="S980" s="670" t="s">
        <v>1801</v>
      </c>
      <c r="T980" s="668" t="s">
        <v>1050</v>
      </c>
    </row>
    <row r="981" spans="1:20">
      <c r="A981" s="671"/>
      <c r="B981" s="677"/>
      <c r="C981" s="678">
        <v>36</v>
      </c>
      <c r="D981" s="927" t="s">
        <v>1052</v>
      </c>
      <c r="E981" s="926"/>
      <c r="F981" s="675"/>
      <c r="G981" s="672"/>
      <c r="H981" s="676"/>
      <c r="Q981" s="711"/>
      <c r="S981" s="670"/>
    </row>
    <row r="982" spans="1:20">
      <c r="A982" s="679">
        <v>7341600</v>
      </c>
      <c r="B982" s="677"/>
      <c r="C982" s="672"/>
      <c r="D982" s="672" t="s">
        <v>759</v>
      </c>
      <c r="E982" s="676" t="s">
        <v>1053</v>
      </c>
      <c r="F982" s="680" t="s">
        <v>1820</v>
      </c>
      <c r="G982" s="710">
        <v>734</v>
      </c>
      <c r="H982" s="682">
        <v>1600</v>
      </c>
      <c r="J982" s="668" t="str">
        <f t="shared" ref="J982:J985" si="156">E982</f>
        <v>Technology-Related Hardware</v>
      </c>
      <c r="L982" s="668">
        <v>131</v>
      </c>
      <c r="M982" s="669">
        <v>122</v>
      </c>
      <c r="N982" s="668"/>
      <c r="O982" s="668">
        <v>12</v>
      </c>
      <c r="P982" s="668" t="str">
        <f>IFERROR(VLOOKUP(F982, [2]MOE!B:C, 2, FALSE), "No")</f>
        <v>No</v>
      </c>
      <c r="Q982" s="711"/>
      <c r="S982" s="670" t="s">
        <v>1801</v>
      </c>
      <c r="T982" s="668" t="s">
        <v>1053</v>
      </c>
    </row>
    <row r="983" spans="1:20">
      <c r="A983" s="679">
        <v>7351600</v>
      </c>
      <c r="B983" s="677"/>
      <c r="C983" s="672"/>
      <c r="D983" s="672" t="s">
        <v>777</v>
      </c>
      <c r="E983" s="676" t="s">
        <v>1055</v>
      </c>
      <c r="F983" s="680" t="s">
        <v>1821</v>
      </c>
      <c r="G983" s="710">
        <v>735</v>
      </c>
      <c r="H983" s="682">
        <v>1600</v>
      </c>
      <c r="J983" s="668" t="str">
        <f t="shared" si="156"/>
        <v>Technology Software</v>
      </c>
      <c r="L983" s="668">
        <v>131</v>
      </c>
      <c r="M983" s="669">
        <v>122</v>
      </c>
      <c r="N983" s="668"/>
      <c r="O983" s="668">
        <v>12</v>
      </c>
      <c r="P983" s="668" t="str">
        <f>IFERROR(VLOOKUP(F983, [2]MOE!B:C, 2, FALSE), "No")</f>
        <v>No</v>
      </c>
      <c r="Q983" s="711"/>
      <c r="S983" s="670" t="s">
        <v>1801</v>
      </c>
      <c r="T983" s="668" t="s">
        <v>1055</v>
      </c>
    </row>
    <row r="984" spans="1:20">
      <c r="A984" s="679">
        <v>7301600</v>
      </c>
      <c r="B984" s="677"/>
      <c r="C984" s="672"/>
      <c r="D984" s="672" t="s">
        <v>801</v>
      </c>
      <c r="E984" s="676" t="s">
        <v>1057</v>
      </c>
      <c r="F984" s="680" t="s">
        <v>1822</v>
      </c>
      <c r="G984" s="710">
        <v>730</v>
      </c>
      <c r="H984" s="682">
        <v>1600</v>
      </c>
      <c r="J984" s="668" t="str">
        <f t="shared" si="156"/>
        <v>All Other Equipment</v>
      </c>
      <c r="L984" s="668">
        <v>131</v>
      </c>
      <c r="M984" s="669">
        <v>122</v>
      </c>
      <c r="N984" s="668"/>
      <c r="O984" s="668">
        <v>12</v>
      </c>
      <c r="P984" s="668" t="str">
        <f>IFERROR(VLOOKUP(F984, [2]MOE!B:C, 2, FALSE), "No")</f>
        <v>No</v>
      </c>
      <c r="Q984" s="711"/>
      <c r="S984" s="670" t="s">
        <v>1801</v>
      </c>
      <c r="T984" s="668" t="s">
        <v>1057</v>
      </c>
    </row>
    <row r="985" spans="1:20">
      <c r="A985" s="679">
        <v>7001600</v>
      </c>
      <c r="B985" s="677"/>
      <c r="C985" s="672"/>
      <c r="D985" s="672" t="s">
        <v>805</v>
      </c>
      <c r="E985" s="676" t="s">
        <v>1059</v>
      </c>
      <c r="F985" s="680" t="s">
        <v>1823</v>
      </c>
      <c r="G985" s="710">
        <v>700</v>
      </c>
      <c r="H985" s="682">
        <v>1600</v>
      </c>
      <c r="J985" s="668" t="str">
        <f t="shared" si="156"/>
        <v>Other Property</v>
      </c>
      <c r="L985" s="668">
        <v>132</v>
      </c>
      <c r="M985" s="669">
        <v>123</v>
      </c>
      <c r="N985" s="668"/>
      <c r="O985" s="668">
        <v>12</v>
      </c>
      <c r="P985" s="668" t="str">
        <f>IFERROR(VLOOKUP(F985, [2]MOE!B:C, 2, FALSE), "No")</f>
        <v>No</v>
      </c>
      <c r="Q985" s="711"/>
      <c r="S985" s="670" t="s">
        <v>1801</v>
      </c>
      <c r="T985" s="668" t="s">
        <v>1059</v>
      </c>
    </row>
    <row r="986" spans="1:20">
      <c r="A986" s="671"/>
      <c r="B986" s="677"/>
      <c r="C986" s="678">
        <v>37</v>
      </c>
      <c r="D986" s="927" t="s">
        <v>256</v>
      </c>
      <c r="E986" s="926"/>
      <c r="F986" s="675"/>
      <c r="G986" s="672"/>
      <c r="H986" s="676"/>
      <c r="Q986" s="711"/>
      <c r="S986" s="670"/>
    </row>
    <row r="987" spans="1:20">
      <c r="A987" s="679">
        <v>8951600</v>
      </c>
      <c r="B987" s="677"/>
      <c r="C987" s="672"/>
      <c r="D987" s="672" t="s">
        <v>759</v>
      </c>
      <c r="E987" s="676" t="s">
        <v>1061</v>
      </c>
      <c r="F987" s="680" t="s">
        <v>1824</v>
      </c>
      <c r="G987" s="710">
        <v>895</v>
      </c>
      <c r="H987" s="682">
        <v>1600</v>
      </c>
      <c r="J987" s="668" t="str">
        <f t="shared" ref="J987:J988" si="157">E987</f>
        <v>Miscellaneous Non-Public Expenditures</v>
      </c>
      <c r="L987" s="668">
        <v>139</v>
      </c>
      <c r="M987" s="669">
        <v>129</v>
      </c>
      <c r="N987" s="668"/>
      <c r="O987" s="668">
        <v>12</v>
      </c>
      <c r="P987" s="668" t="str">
        <f>IFERROR(VLOOKUP(F987, [2]MOE!B:C, 2, FALSE), "No")</f>
        <v>No</v>
      </c>
      <c r="Q987" s="711"/>
      <c r="S987" s="670" t="s">
        <v>1801</v>
      </c>
      <c r="T987" s="668" t="s">
        <v>1061</v>
      </c>
    </row>
    <row r="988" spans="1:20">
      <c r="A988" s="679">
        <v>8001600</v>
      </c>
      <c r="B988" s="677"/>
      <c r="C988" s="672"/>
      <c r="D988" s="672" t="s">
        <v>777</v>
      </c>
      <c r="E988" s="676" t="s">
        <v>1063</v>
      </c>
      <c r="F988" s="680" t="s">
        <v>1825</v>
      </c>
      <c r="G988" s="710">
        <v>800</v>
      </c>
      <c r="H988" s="682">
        <v>1600</v>
      </c>
      <c r="J988" s="668" t="str">
        <f t="shared" si="157"/>
        <v>Other Miscellaneous Expenditures</v>
      </c>
      <c r="L988" s="668">
        <v>139</v>
      </c>
      <c r="M988" s="669">
        <v>129</v>
      </c>
      <c r="N988" s="668"/>
      <c r="O988" s="668">
        <v>12</v>
      </c>
      <c r="P988" s="668" t="str">
        <f>IFERROR(VLOOKUP(F988, [2]MOE!B:C, 2, FALSE), "No")</f>
        <v>No</v>
      </c>
      <c r="Q988" s="711"/>
      <c r="S988" s="670" t="s">
        <v>1801</v>
      </c>
      <c r="T988" s="668" t="s">
        <v>1063</v>
      </c>
    </row>
    <row r="989" spans="1:20">
      <c r="A989" s="671"/>
      <c r="B989" s="677"/>
      <c r="C989" s="678">
        <v>38</v>
      </c>
      <c r="D989" s="927" t="s">
        <v>1065</v>
      </c>
      <c r="E989" s="926"/>
      <c r="F989" s="675"/>
      <c r="G989" s="672"/>
      <c r="H989" s="676"/>
      <c r="Q989" s="711"/>
      <c r="S989" s="670"/>
    </row>
    <row r="990" spans="1:20">
      <c r="A990" s="679">
        <v>2101600</v>
      </c>
      <c r="B990" s="677"/>
      <c r="C990" s="672"/>
      <c r="D990" s="672" t="s">
        <v>759</v>
      </c>
      <c r="E990" s="676" t="s">
        <v>1066</v>
      </c>
      <c r="F990" s="680" t="s">
        <v>1826</v>
      </c>
      <c r="G990" s="710">
        <v>210</v>
      </c>
      <c r="H990" s="682">
        <v>1600</v>
      </c>
      <c r="J990" s="668" t="str">
        <f t="shared" ref="J990:J992" si="158">E990</f>
        <v>Group Insurance</v>
      </c>
      <c r="L990" s="668">
        <v>89</v>
      </c>
      <c r="M990" s="669">
        <v>84</v>
      </c>
      <c r="N990" s="668"/>
      <c r="O990" s="668">
        <v>12</v>
      </c>
      <c r="P990" s="668" t="str">
        <f>IFERROR(VLOOKUP(F990, [2]MOE!B:C, 2, FALSE), "No")</f>
        <v>No</v>
      </c>
      <c r="Q990" s="711" t="s">
        <v>1004</v>
      </c>
      <c r="S990" s="670" t="s">
        <v>1801</v>
      </c>
      <c r="T990" s="668" t="s">
        <v>1066</v>
      </c>
    </row>
    <row r="991" spans="1:20">
      <c r="A991" s="679">
        <v>2201600</v>
      </c>
      <c r="B991" s="677"/>
      <c r="C991" s="672"/>
      <c r="D991" s="672" t="s">
        <v>777</v>
      </c>
      <c r="E991" s="676" t="s">
        <v>1068</v>
      </c>
      <c r="F991" s="680" t="s">
        <v>1827</v>
      </c>
      <c r="G991" s="710">
        <v>220</v>
      </c>
      <c r="H991" s="682">
        <v>1600</v>
      </c>
      <c r="J991" s="668" t="str">
        <f t="shared" si="158"/>
        <v>FICA</v>
      </c>
      <c r="L991" s="668">
        <v>90</v>
      </c>
      <c r="M991" s="669">
        <v>85</v>
      </c>
      <c r="N991" s="668"/>
      <c r="O991" s="668">
        <v>12</v>
      </c>
      <c r="P991" s="668" t="str">
        <f>IFERROR(VLOOKUP(F991, [2]MOE!B:C, 2, FALSE), "No")</f>
        <v>No</v>
      </c>
      <c r="Q991" s="711" t="s">
        <v>1004</v>
      </c>
      <c r="S991" s="670" t="s">
        <v>1801</v>
      </c>
      <c r="T991" s="668" t="s">
        <v>1068</v>
      </c>
    </row>
    <row r="992" spans="1:20">
      <c r="A992" s="679">
        <v>2251600</v>
      </c>
      <c r="B992" s="677"/>
      <c r="C992" s="672"/>
      <c r="D992" s="672" t="s">
        <v>801</v>
      </c>
      <c r="E992" s="676" t="s">
        <v>23</v>
      </c>
      <c r="F992" s="680" t="s">
        <v>1828</v>
      </c>
      <c r="G992" s="710">
        <v>225</v>
      </c>
      <c r="H992" s="682">
        <v>1600</v>
      </c>
      <c r="J992" s="668" t="str">
        <f t="shared" si="158"/>
        <v>Medicare</v>
      </c>
      <c r="L992" s="668">
        <v>91</v>
      </c>
      <c r="M992" s="669">
        <v>86</v>
      </c>
      <c r="N992" s="668"/>
      <c r="O992" s="668">
        <v>12</v>
      </c>
      <c r="P992" s="668" t="str">
        <f>IFERROR(VLOOKUP(F992, [2]MOE!B:C, 2, FALSE), "No")</f>
        <v>No</v>
      </c>
      <c r="Q992" s="711" t="s">
        <v>1004</v>
      </c>
      <c r="S992" s="670" t="s">
        <v>1801</v>
      </c>
      <c r="T992" s="668" t="s">
        <v>23</v>
      </c>
    </row>
    <row r="993" spans="1:20">
      <c r="A993" s="671"/>
      <c r="B993" s="677"/>
      <c r="C993" s="672"/>
      <c r="D993" s="672" t="s">
        <v>805</v>
      </c>
      <c r="E993" s="676" t="s">
        <v>1071</v>
      </c>
      <c r="F993" s="675"/>
      <c r="G993" s="672"/>
      <c r="H993" s="676"/>
      <c r="Q993" s="711"/>
      <c r="S993" s="670"/>
    </row>
    <row r="994" spans="1:20">
      <c r="A994" s="679">
        <v>2311600</v>
      </c>
      <c r="B994" s="677"/>
      <c r="C994" s="672"/>
      <c r="D994" s="672"/>
      <c r="E994" s="676" t="s">
        <v>1072</v>
      </c>
      <c r="F994" s="680" t="s">
        <v>1829</v>
      </c>
      <c r="G994" s="710">
        <v>231</v>
      </c>
      <c r="H994" s="682">
        <v>1600</v>
      </c>
      <c r="J994" s="668" t="str">
        <f t="shared" ref="J994:J1002" si="159">E994</f>
        <v>(1) Louisiana Teachers Retirement</v>
      </c>
      <c r="L994" s="668">
        <v>92</v>
      </c>
      <c r="M994" s="669">
        <v>87</v>
      </c>
      <c r="N994" s="668"/>
      <c r="O994" s="668">
        <v>12</v>
      </c>
      <c r="P994" s="668" t="str">
        <f>IFERROR(VLOOKUP(F994, [2]MOE!B:C, 2, FALSE), "No")</f>
        <v>No</v>
      </c>
      <c r="Q994" s="711" t="s">
        <v>1004</v>
      </c>
      <c r="S994" s="670" t="s">
        <v>1801</v>
      </c>
      <c r="T994" s="668" t="s">
        <v>1074</v>
      </c>
    </row>
    <row r="995" spans="1:20">
      <c r="A995" s="679">
        <v>2331600</v>
      </c>
      <c r="B995" s="677"/>
      <c r="C995" s="672"/>
      <c r="D995" s="672"/>
      <c r="E995" s="676" t="s">
        <v>1075</v>
      </c>
      <c r="F995" s="680" t="s">
        <v>1830</v>
      </c>
      <c r="G995" s="710">
        <v>233</v>
      </c>
      <c r="H995" s="682">
        <v>1600</v>
      </c>
      <c r="J995" s="668" t="str">
        <f t="shared" si="159"/>
        <v>(2) Louisiana School Employees Retirement</v>
      </c>
      <c r="L995" s="668">
        <v>92</v>
      </c>
      <c r="M995" s="669">
        <v>87</v>
      </c>
      <c r="N995" s="668"/>
      <c r="O995" s="668">
        <v>12</v>
      </c>
      <c r="P995" s="668" t="str">
        <f>IFERROR(VLOOKUP(F995, [2]MOE!B:C, 2, FALSE), "No")</f>
        <v>No</v>
      </c>
      <c r="Q995" s="711" t="s">
        <v>1004</v>
      </c>
      <c r="S995" s="670" t="s">
        <v>1801</v>
      </c>
      <c r="T995" s="668" t="s">
        <v>1077</v>
      </c>
    </row>
    <row r="996" spans="1:20">
      <c r="A996" s="679">
        <v>2391600</v>
      </c>
      <c r="B996" s="677"/>
      <c r="C996" s="672"/>
      <c r="D996" s="672"/>
      <c r="E996" s="676" t="s">
        <v>1078</v>
      </c>
      <c r="F996" s="680" t="s">
        <v>1831</v>
      </c>
      <c r="G996" s="710">
        <v>239</v>
      </c>
      <c r="H996" s="682">
        <v>1600</v>
      </c>
      <c r="J996" s="668" t="str">
        <f t="shared" si="159"/>
        <v>(3) Other Retirement</v>
      </c>
      <c r="L996" s="668">
        <v>92</v>
      </c>
      <c r="M996" s="669">
        <v>87</v>
      </c>
      <c r="N996" s="668"/>
      <c r="O996" s="668">
        <v>12</v>
      </c>
      <c r="P996" s="668" t="str">
        <f>IFERROR(VLOOKUP(F996, [2]MOE!B:C, 2, FALSE), "No")</f>
        <v>No</v>
      </c>
      <c r="Q996" s="711" t="s">
        <v>1004</v>
      </c>
      <c r="S996" s="670" t="s">
        <v>1801</v>
      </c>
      <c r="T996" s="668" t="s">
        <v>1080</v>
      </c>
    </row>
    <row r="997" spans="1:20">
      <c r="A997" s="679">
        <v>2501600</v>
      </c>
      <c r="B997" s="677"/>
      <c r="C997" s="672"/>
      <c r="D997" s="672" t="s">
        <v>850</v>
      </c>
      <c r="E997" s="676" t="s">
        <v>1081</v>
      </c>
      <c r="F997" s="680" t="s">
        <v>1832</v>
      </c>
      <c r="G997" s="710">
        <v>250</v>
      </c>
      <c r="H997" s="682">
        <v>1600</v>
      </c>
      <c r="J997" s="668" t="str">
        <f t="shared" si="159"/>
        <v>Unemployment Compensation</v>
      </c>
      <c r="L997" s="668">
        <v>93</v>
      </c>
      <c r="M997" s="669">
        <v>88</v>
      </c>
      <c r="N997" s="668"/>
      <c r="O997" s="668">
        <v>12</v>
      </c>
      <c r="P997" s="668" t="str">
        <f>IFERROR(VLOOKUP(F997, [2]MOE!B:C, 2, FALSE), "No")</f>
        <v>No</v>
      </c>
      <c r="Q997" s="711" t="s">
        <v>1004</v>
      </c>
      <c r="S997" s="670" t="s">
        <v>1801</v>
      </c>
      <c r="T997" s="668" t="s">
        <v>1081</v>
      </c>
    </row>
    <row r="998" spans="1:20">
      <c r="A998" s="679">
        <v>2601600</v>
      </c>
      <c r="B998" s="677"/>
      <c r="C998" s="672"/>
      <c r="D998" s="672" t="s">
        <v>853</v>
      </c>
      <c r="E998" s="676" t="s">
        <v>1083</v>
      </c>
      <c r="F998" s="680" t="s">
        <v>1833</v>
      </c>
      <c r="G998" s="710">
        <v>260</v>
      </c>
      <c r="H998" s="682">
        <v>1600</v>
      </c>
      <c r="J998" s="668" t="str">
        <f t="shared" si="159"/>
        <v>Workmen's Compensation</v>
      </c>
      <c r="L998" s="668">
        <v>95</v>
      </c>
      <c r="M998" s="669">
        <v>90</v>
      </c>
      <c r="N998" s="668"/>
      <c r="O998" s="668">
        <v>12</v>
      </c>
      <c r="P998" s="668" t="str">
        <f>IFERROR(VLOOKUP(F998, [2]MOE!B:C, 2, FALSE), "No")</f>
        <v>No</v>
      </c>
      <c r="Q998" s="711" t="s">
        <v>1004</v>
      </c>
      <c r="S998" s="670" t="s">
        <v>1801</v>
      </c>
      <c r="T998" s="668" t="s">
        <v>1083</v>
      </c>
    </row>
    <row r="999" spans="1:20">
      <c r="A999" s="679">
        <v>2701600</v>
      </c>
      <c r="B999" s="677"/>
      <c r="C999" s="672"/>
      <c r="D999" s="672" t="s">
        <v>856</v>
      </c>
      <c r="E999" s="676" t="s">
        <v>1085</v>
      </c>
      <c r="F999" s="680" t="s">
        <v>1834</v>
      </c>
      <c r="G999" s="710">
        <v>270</v>
      </c>
      <c r="H999" s="682">
        <v>1600</v>
      </c>
      <c r="J999" s="668" t="str">
        <f t="shared" si="159"/>
        <v>Health Benefits (retirees)</v>
      </c>
      <c r="L999" s="668">
        <v>94</v>
      </c>
      <c r="M999" s="669">
        <v>89</v>
      </c>
      <c r="N999" s="668"/>
      <c r="O999" s="668">
        <v>12</v>
      </c>
      <c r="P999" s="668" t="str">
        <f>IFERROR(VLOOKUP(F999, [2]MOE!B:C, 2, FALSE), "No")</f>
        <v>No</v>
      </c>
      <c r="Q999" s="711" t="s">
        <v>1004</v>
      </c>
      <c r="S999" s="670" t="s">
        <v>1801</v>
      </c>
      <c r="T999" s="668" t="s">
        <v>1085</v>
      </c>
    </row>
    <row r="1000" spans="1:20">
      <c r="A1000" s="679">
        <v>2811600</v>
      </c>
      <c r="B1000" s="677"/>
      <c r="C1000" s="672"/>
      <c r="D1000" s="672" t="s">
        <v>859</v>
      </c>
      <c r="E1000" s="676" t="s">
        <v>1087</v>
      </c>
      <c r="F1000" s="680" t="s">
        <v>1835</v>
      </c>
      <c r="G1000" s="710">
        <v>281</v>
      </c>
      <c r="H1000" s="682">
        <v>1600</v>
      </c>
      <c r="J1000" s="668" t="str">
        <f t="shared" si="159"/>
        <v>Sick Leave Severance Pay</v>
      </c>
      <c r="L1000" s="668">
        <v>95</v>
      </c>
      <c r="M1000" s="669">
        <v>90</v>
      </c>
      <c r="N1000" s="668"/>
      <c r="O1000" s="668">
        <v>12</v>
      </c>
      <c r="P1000" s="668" t="str">
        <f>IFERROR(VLOOKUP(F1000, [2]MOE!B:C, 2, FALSE), "No")</f>
        <v>No</v>
      </c>
      <c r="Q1000" s="711" t="s">
        <v>1004</v>
      </c>
      <c r="S1000" s="670" t="s">
        <v>1801</v>
      </c>
      <c r="T1000" s="668" t="s">
        <v>1087</v>
      </c>
    </row>
    <row r="1001" spans="1:20">
      <c r="A1001" s="679">
        <v>2821600</v>
      </c>
      <c r="B1001" s="677"/>
      <c r="C1001" s="672"/>
      <c r="D1001" s="672" t="s">
        <v>862</v>
      </c>
      <c r="E1001" s="676" t="s">
        <v>1089</v>
      </c>
      <c r="F1001" s="680" t="s">
        <v>1836</v>
      </c>
      <c r="G1001" s="710">
        <v>282</v>
      </c>
      <c r="H1001" s="682">
        <v>1600</v>
      </c>
      <c r="J1001" s="668" t="str">
        <f t="shared" si="159"/>
        <v>Annual Leave Severance Pay</v>
      </c>
      <c r="L1001" s="668">
        <v>95</v>
      </c>
      <c r="M1001" s="669">
        <v>90</v>
      </c>
      <c r="N1001" s="668"/>
      <c r="O1001" s="668">
        <v>12</v>
      </c>
      <c r="P1001" s="668" t="str">
        <f>IFERROR(VLOOKUP(F1001, [2]MOE!B:C, 2, FALSE), "No")</f>
        <v>No</v>
      </c>
      <c r="Q1001" s="711" t="s">
        <v>1004</v>
      </c>
      <c r="S1001" s="670" t="s">
        <v>1801</v>
      </c>
      <c r="T1001" s="668" t="s">
        <v>1089</v>
      </c>
    </row>
    <row r="1002" spans="1:20" ht="16" thickBot="1">
      <c r="A1002" s="679">
        <v>2901600</v>
      </c>
      <c r="B1002" s="716"/>
      <c r="C1002" s="672"/>
      <c r="D1002" s="672" t="s">
        <v>1837</v>
      </c>
      <c r="E1002" s="676" t="s">
        <v>1092</v>
      </c>
      <c r="F1002" s="680" t="s">
        <v>1838</v>
      </c>
      <c r="G1002" s="710">
        <v>290</v>
      </c>
      <c r="H1002" s="682">
        <v>1600</v>
      </c>
      <c r="J1002" s="668" t="str">
        <f t="shared" si="159"/>
        <v>Other Employee Benefits</v>
      </c>
      <c r="L1002" s="668">
        <v>95</v>
      </c>
      <c r="M1002" s="669">
        <v>90</v>
      </c>
      <c r="N1002" s="668"/>
      <c r="O1002" s="668">
        <v>12</v>
      </c>
      <c r="P1002" s="668" t="str">
        <f>IFERROR(VLOOKUP(F1002, [2]MOE!B:C, 2, FALSE), "No")</f>
        <v>No</v>
      </c>
      <c r="Q1002" s="711" t="s">
        <v>1004</v>
      </c>
      <c r="S1002" s="670" t="s">
        <v>1801</v>
      </c>
      <c r="T1002" s="668" t="s">
        <v>1092</v>
      </c>
    </row>
    <row r="1003" spans="1:20" ht="16.5" thickTop="1" thickBot="1">
      <c r="A1003" s="671"/>
      <c r="B1003" s="663"/>
      <c r="C1003" s="929" t="s">
        <v>1839</v>
      </c>
      <c r="D1003" s="930"/>
      <c r="E1003" s="932"/>
      <c r="F1003" s="705" t="s">
        <v>626</v>
      </c>
      <c r="G1003" s="706"/>
      <c r="H1003" s="707"/>
      <c r="Q1003" s="711"/>
      <c r="S1003" s="670"/>
    </row>
    <row r="1004" spans="1:20" ht="18.5" thickTop="1">
      <c r="A1004" s="671"/>
      <c r="B1004" s="723"/>
      <c r="C1004" s="941" t="s">
        <v>1840</v>
      </c>
      <c r="D1004" s="795"/>
      <c r="E1004" s="795"/>
      <c r="F1004" s="665"/>
      <c r="G1004" s="677"/>
      <c r="H1004" s="703"/>
      <c r="Q1004" s="711"/>
      <c r="S1004" s="670"/>
    </row>
    <row r="1005" spans="1:20" ht="16" thickBot="1">
      <c r="A1005" s="671"/>
      <c r="B1005" s="724"/>
      <c r="C1005" s="942" t="s">
        <v>1841</v>
      </c>
      <c r="D1005" s="936"/>
      <c r="E1005" s="936"/>
      <c r="F1005" s="667"/>
      <c r="G1005" s="663"/>
      <c r="H1005" s="664"/>
      <c r="Q1005" s="711"/>
      <c r="S1005" s="670"/>
    </row>
    <row r="1006" spans="1:20" ht="16.5" thickTop="1" thickBot="1">
      <c r="A1006" s="671"/>
      <c r="B1006" s="935" t="s">
        <v>1842</v>
      </c>
      <c r="C1006" s="936"/>
      <c r="D1006" s="936"/>
      <c r="E1006" s="934"/>
      <c r="F1006" s="709" t="s">
        <v>692</v>
      </c>
      <c r="G1006" s="663"/>
      <c r="H1006" s="664"/>
      <c r="Q1006" s="711"/>
      <c r="S1006" s="670"/>
    </row>
    <row r="1007" spans="1:20" ht="16" thickTop="1">
      <c r="A1007" s="671"/>
      <c r="B1007" s="672"/>
      <c r="C1007" s="672"/>
      <c r="D1007" s="672"/>
      <c r="E1007" s="676"/>
      <c r="F1007" s="675"/>
      <c r="G1007" s="672"/>
      <c r="H1007" s="676"/>
      <c r="Q1007" s="711"/>
      <c r="S1007" s="670"/>
    </row>
    <row r="1008" spans="1:20">
      <c r="A1008" s="671"/>
      <c r="B1008" s="677" t="s">
        <v>880</v>
      </c>
      <c r="C1008" s="921" t="s">
        <v>1843</v>
      </c>
      <c r="D1008" s="795"/>
      <c r="E1008" s="926"/>
      <c r="F1008" s="675"/>
      <c r="G1008" s="672"/>
      <c r="H1008" s="676"/>
      <c r="Q1008" s="711"/>
      <c r="S1008" s="670"/>
    </row>
    <row r="1009" spans="1:20">
      <c r="A1009" s="671"/>
      <c r="B1009" s="677" t="s">
        <v>1001</v>
      </c>
      <c r="C1009" s="921" t="s">
        <v>694</v>
      </c>
      <c r="D1009" s="795"/>
      <c r="E1009" s="926"/>
      <c r="F1009" s="675"/>
      <c r="G1009" s="672"/>
      <c r="H1009" s="676"/>
      <c r="Q1009" s="711"/>
      <c r="S1009" s="670"/>
    </row>
    <row r="1010" spans="1:20">
      <c r="A1010" s="671"/>
      <c r="B1010" s="677"/>
      <c r="C1010" s="678">
        <v>47</v>
      </c>
      <c r="D1010" s="927" t="s">
        <v>1844</v>
      </c>
      <c r="E1010" s="926"/>
      <c r="F1010" s="675"/>
      <c r="G1010" s="672"/>
      <c r="H1010" s="676"/>
      <c r="Q1010" s="711"/>
      <c r="S1010" s="670"/>
    </row>
    <row r="1011" spans="1:20">
      <c r="A1011" s="671"/>
      <c r="B1011" s="677"/>
      <c r="C1011" s="672"/>
      <c r="D1011" s="672" t="s">
        <v>759</v>
      </c>
      <c r="E1011" s="676" t="s">
        <v>244</v>
      </c>
      <c r="F1011" s="675"/>
      <c r="G1011" s="672"/>
      <c r="H1011" s="676"/>
      <c r="Q1011" s="711"/>
      <c r="S1011" s="670"/>
    </row>
    <row r="1012" spans="1:20">
      <c r="A1012" s="679">
        <v>1112111</v>
      </c>
      <c r="B1012" s="677"/>
      <c r="C1012" s="672"/>
      <c r="D1012" s="672"/>
      <c r="E1012" s="676" t="s">
        <v>1845</v>
      </c>
      <c r="F1012" s="680" t="s">
        <v>1846</v>
      </c>
      <c r="G1012" s="710">
        <v>111</v>
      </c>
      <c r="H1012" s="682">
        <v>2111</v>
      </c>
      <c r="J1012" s="668" t="str">
        <f t="shared" ref="J1012:J1017" si="160">E1012</f>
        <v>(1) Supervisors</v>
      </c>
      <c r="L1012" s="668">
        <v>81</v>
      </c>
      <c r="M1012" s="669">
        <v>76</v>
      </c>
      <c r="N1012" s="668"/>
      <c r="O1012" s="668">
        <v>13</v>
      </c>
      <c r="P1012" s="668" t="str">
        <f>IFERROR(VLOOKUP(F1012, [2]MOE!B:C, 2, FALSE), "No")</f>
        <v>No</v>
      </c>
      <c r="Q1012" s="711" t="s">
        <v>1546</v>
      </c>
      <c r="S1012" s="670" t="s">
        <v>1847</v>
      </c>
      <c r="T1012" s="668" t="s">
        <v>1848</v>
      </c>
    </row>
    <row r="1013" spans="1:20">
      <c r="A1013" s="679">
        <v>1132113</v>
      </c>
      <c r="B1013" s="677"/>
      <c r="C1013" s="672"/>
      <c r="D1013" s="672"/>
      <c r="E1013" s="676" t="s">
        <v>1849</v>
      </c>
      <c r="F1013" s="680" t="s">
        <v>1850</v>
      </c>
      <c r="G1013" s="710">
        <v>113</v>
      </c>
      <c r="H1013" s="682">
        <v>2113</v>
      </c>
      <c r="J1013" s="668" t="str">
        <f t="shared" si="160"/>
        <v>(2) Social Workers</v>
      </c>
      <c r="L1013" s="668">
        <v>83</v>
      </c>
      <c r="M1013" s="669">
        <v>78</v>
      </c>
      <c r="N1013" s="668"/>
      <c r="O1013" s="668">
        <v>13</v>
      </c>
      <c r="P1013" s="668" t="str">
        <f>IFERROR(VLOOKUP(F1013, [2]MOE!B:C, 2, FALSE), "No")</f>
        <v>No</v>
      </c>
      <c r="Q1013" s="711" t="s">
        <v>1546</v>
      </c>
      <c r="S1013" s="670" t="s">
        <v>1847</v>
      </c>
      <c r="T1013" s="668" t="s">
        <v>1851</v>
      </c>
    </row>
    <row r="1014" spans="1:20">
      <c r="A1014" s="679">
        <v>1142110</v>
      </c>
      <c r="B1014" s="677"/>
      <c r="C1014" s="672"/>
      <c r="D1014" s="672"/>
      <c r="E1014" s="676" t="s">
        <v>1852</v>
      </c>
      <c r="F1014" s="680" t="s">
        <v>1853</v>
      </c>
      <c r="G1014" s="710">
        <v>114</v>
      </c>
      <c r="H1014" s="682">
        <v>2110</v>
      </c>
      <c r="J1014" s="668" t="str">
        <f t="shared" si="160"/>
        <v>(3) Clerical/Secretarial</v>
      </c>
      <c r="L1014" s="668">
        <v>84</v>
      </c>
      <c r="M1014" s="669">
        <v>79</v>
      </c>
      <c r="N1014" s="668"/>
      <c r="O1014" s="668">
        <v>13</v>
      </c>
      <c r="P1014" s="668" t="str">
        <f>IFERROR(VLOOKUP(F1014, [2]MOE!B:C, 2, FALSE), "No")</f>
        <v>No</v>
      </c>
      <c r="Q1014" s="711" t="s">
        <v>1546</v>
      </c>
      <c r="S1014" s="670" t="s">
        <v>1847</v>
      </c>
      <c r="T1014" s="668" t="s">
        <v>1854</v>
      </c>
    </row>
    <row r="1015" spans="1:20">
      <c r="A1015" s="679">
        <v>1002110</v>
      </c>
      <c r="B1015" s="677"/>
      <c r="C1015" s="672"/>
      <c r="D1015" s="672"/>
      <c r="E1015" s="676" t="s">
        <v>1855</v>
      </c>
      <c r="F1015" s="680" t="s">
        <v>1856</v>
      </c>
      <c r="G1015" s="710">
        <v>100</v>
      </c>
      <c r="H1015" s="682">
        <v>2110</v>
      </c>
      <c r="J1015" s="668" t="str">
        <f t="shared" si="160"/>
        <v>(4) Other Attendance/Social Work Salaries</v>
      </c>
      <c r="L1015" s="668">
        <v>86</v>
      </c>
      <c r="M1015" s="669">
        <v>81</v>
      </c>
      <c r="N1015" s="668"/>
      <c r="O1015" s="668">
        <v>13</v>
      </c>
      <c r="P1015" s="668" t="str">
        <f>IFERROR(VLOOKUP(F1015, [2]MOE!B:C, 2, FALSE), "No")</f>
        <v>No</v>
      </c>
      <c r="Q1015" s="711" t="s">
        <v>1546</v>
      </c>
      <c r="S1015" s="670" t="s">
        <v>1847</v>
      </c>
      <c r="T1015" s="668" t="s">
        <v>1857</v>
      </c>
    </row>
    <row r="1016" spans="1:20">
      <c r="A1016" s="679">
        <v>1402110</v>
      </c>
      <c r="B1016" s="677"/>
      <c r="C1016" s="672"/>
      <c r="D1016" s="672"/>
      <c r="E1016" s="676" t="s">
        <v>1858</v>
      </c>
      <c r="F1016" s="680" t="s">
        <v>1859</v>
      </c>
      <c r="G1016" s="710">
        <v>140</v>
      </c>
      <c r="H1016" s="682">
        <v>2110</v>
      </c>
      <c r="J1016" s="668" t="str">
        <f t="shared" si="160"/>
        <v>(5) Sabbatical Leave</v>
      </c>
      <c r="L1016" s="668">
        <v>86</v>
      </c>
      <c r="M1016" s="669">
        <v>81</v>
      </c>
      <c r="N1016" s="668"/>
      <c r="O1016" s="668">
        <v>13</v>
      </c>
      <c r="P1016" s="668" t="str">
        <f>IFERROR(VLOOKUP(F1016, [2]MOE!B:C, 2, FALSE), "No")</f>
        <v>No</v>
      </c>
      <c r="Q1016" s="711" t="s">
        <v>1546</v>
      </c>
      <c r="S1016" s="670" t="s">
        <v>1847</v>
      </c>
      <c r="T1016" s="668" t="s">
        <v>1019</v>
      </c>
    </row>
    <row r="1017" spans="1:20">
      <c r="A1017" s="679">
        <v>3002110</v>
      </c>
      <c r="B1017" s="677"/>
      <c r="C1017" s="672"/>
      <c r="D1017" s="672" t="s">
        <v>777</v>
      </c>
      <c r="E1017" s="676" t="s">
        <v>1113</v>
      </c>
      <c r="F1017" s="680" t="s">
        <v>1860</v>
      </c>
      <c r="G1017" s="710">
        <v>300</v>
      </c>
      <c r="H1017" s="682">
        <v>2110</v>
      </c>
      <c r="J1017" s="668" t="str">
        <f t="shared" si="160"/>
        <v>Purchased Professional and Technical Svcs</v>
      </c>
      <c r="L1017" s="668">
        <v>101</v>
      </c>
      <c r="M1017" s="669">
        <v>96</v>
      </c>
      <c r="N1017" s="668"/>
      <c r="O1017" s="668">
        <v>13</v>
      </c>
      <c r="P1017" s="668" t="str">
        <f>IFERROR(VLOOKUP(F1017, [2]MOE!B:C, 2, FALSE), "No")</f>
        <v>No</v>
      </c>
      <c r="Q1017" s="711" t="s">
        <v>1546</v>
      </c>
      <c r="S1017" s="670" t="s">
        <v>1847</v>
      </c>
      <c r="T1017" s="668" t="s">
        <v>1113</v>
      </c>
    </row>
    <row r="1018" spans="1:20">
      <c r="A1018" s="671"/>
      <c r="B1018" s="677"/>
      <c r="C1018" s="672"/>
      <c r="D1018" s="672" t="s">
        <v>801</v>
      </c>
      <c r="E1018" s="676" t="s">
        <v>250</v>
      </c>
      <c r="F1018" s="675"/>
      <c r="G1018" s="672"/>
      <c r="H1018" s="676"/>
      <c r="Q1018" s="711"/>
      <c r="S1018" s="670"/>
    </row>
    <row r="1019" spans="1:20">
      <c r="A1019" s="679">
        <v>4302110</v>
      </c>
      <c r="B1019" s="677"/>
      <c r="C1019" s="672"/>
      <c r="D1019" s="672"/>
      <c r="E1019" s="676" t="s">
        <v>1115</v>
      </c>
      <c r="F1019" s="680" t="s">
        <v>1861</v>
      </c>
      <c r="G1019" s="710">
        <v>430</v>
      </c>
      <c r="H1019" s="682">
        <v>2110</v>
      </c>
      <c r="J1019" s="668" t="str">
        <f t="shared" ref="J1019:J1021" si="161">E1019</f>
        <v>(1) Repairs and Maintenance Services</v>
      </c>
      <c r="L1019" s="668">
        <v>107</v>
      </c>
      <c r="M1019" s="669">
        <v>102</v>
      </c>
      <c r="N1019" s="668"/>
      <c r="O1019" s="668">
        <v>13</v>
      </c>
      <c r="P1019" s="668" t="str">
        <f>IFERROR(VLOOKUP(F1019, [2]MOE!B:C, 2, FALSE), "No")</f>
        <v>No</v>
      </c>
      <c r="Q1019" s="711" t="s">
        <v>1546</v>
      </c>
      <c r="S1019" s="670" t="s">
        <v>1847</v>
      </c>
      <c r="T1019" s="668" t="s">
        <v>1023</v>
      </c>
    </row>
    <row r="1020" spans="1:20">
      <c r="A1020" s="679">
        <v>4422110</v>
      </c>
      <c r="B1020" s="677"/>
      <c r="C1020" s="672"/>
      <c r="D1020" s="672"/>
      <c r="E1020" s="676" t="s">
        <v>1117</v>
      </c>
      <c r="F1020" s="680" t="s">
        <v>1862</v>
      </c>
      <c r="G1020" s="710">
        <v>442</v>
      </c>
      <c r="H1020" s="682">
        <v>2110</v>
      </c>
      <c r="J1020" s="668" t="str">
        <f t="shared" si="161"/>
        <v>(2) Rental of Equipment</v>
      </c>
      <c r="L1020" s="668">
        <v>106</v>
      </c>
      <c r="M1020" s="669">
        <v>101</v>
      </c>
      <c r="N1020" s="668"/>
      <c r="O1020" s="668">
        <v>13</v>
      </c>
      <c r="P1020" s="668" t="str">
        <f>IFERROR(VLOOKUP(F1020, [2]MOE!B:C, 2, FALSE), "No")</f>
        <v>No</v>
      </c>
      <c r="Q1020" s="711" t="s">
        <v>1546</v>
      </c>
      <c r="S1020" s="670" t="s">
        <v>1847</v>
      </c>
      <c r="T1020" s="668" t="s">
        <v>1025</v>
      </c>
    </row>
    <row r="1021" spans="1:20">
      <c r="A1021" s="679">
        <v>4002110</v>
      </c>
      <c r="B1021" s="677"/>
      <c r="C1021" s="672"/>
      <c r="D1021" s="672"/>
      <c r="E1021" s="676" t="s">
        <v>1119</v>
      </c>
      <c r="F1021" s="680" t="s">
        <v>1863</v>
      </c>
      <c r="G1021" s="710">
        <v>400</v>
      </c>
      <c r="H1021" s="682">
        <v>2110</v>
      </c>
      <c r="J1021" s="668" t="str">
        <f t="shared" si="161"/>
        <v>(3) Other Purchased Property Services</v>
      </c>
      <c r="L1021" s="668">
        <v>108</v>
      </c>
      <c r="M1021" s="669">
        <v>103</v>
      </c>
      <c r="N1021" s="668"/>
      <c r="O1021" s="668">
        <v>13</v>
      </c>
      <c r="P1021" s="668" t="str">
        <f>IFERROR(VLOOKUP(F1021, [2]MOE!B:C, 2, FALSE), "No")</f>
        <v>No</v>
      </c>
      <c r="Q1021" s="711" t="s">
        <v>1546</v>
      </c>
      <c r="S1021" s="670" t="s">
        <v>1847</v>
      </c>
      <c r="T1021" s="668" t="s">
        <v>1027</v>
      </c>
    </row>
    <row r="1022" spans="1:20">
      <c r="A1022" s="671"/>
      <c r="B1022" s="677"/>
      <c r="C1022" s="672"/>
      <c r="D1022" s="672" t="s">
        <v>805</v>
      </c>
      <c r="E1022" s="676" t="s">
        <v>252</v>
      </c>
      <c r="F1022" s="675"/>
      <c r="G1022" s="672"/>
      <c r="H1022" s="676"/>
      <c r="Q1022" s="711"/>
      <c r="S1022" s="670"/>
    </row>
    <row r="1023" spans="1:20">
      <c r="A1023" s="679">
        <v>5822110</v>
      </c>
      <c r="B1023" s="677"/>
      <c r="C1023" s="672"/>
      <c r="D1023" s="672"/>
      <c r="E1023" s="676" t="s">
        <v>1864</v>
      </c>
      <c r="F1023" s="680" t="s">
        <v>1865</v>
      </c>
      <c r="G1023" s="710">
        <v>582</v>
      </c>
      <c r="H1023" s="682">
        <v>2110</v>
      </c>
      <c r="J1023" s="668" t="str">
        <f t="shared" ref="J1023:J1024" si="162">E1023</f>
        <v>(1) Travel Expense Reimbursement</v>
      </c>
      <c r="L1023" s="668">
        <v>118</v>
      </c>
      <c r="M1023" s="669">
        <v>109</v>
      </c>
      <c r="N1023" s="668"/>
      <c r="O1023" s="668">
        <v>13</v>
      </c>
      <c r="P1023" s="668" t="str">
        <f>IFERROR(VLOOKUP(F1023, [2]MOE!B:C, 2, FALSE), "No")</f>
        <v>No</v>
      </c>
      <c r="Q1023" s="711" t="s">
        <v>1546</v>
      </c>
      <c r="S1023" s="670" t="s">
        <v>1847</v>
      </c>
      <c r="T1023" s="668" t="s">
        <v>1039</v>
      </c>
    </row>
    <row r="1024" spans="1:20">
      <c r="A1024" s="679">
        <v>5002110</v>
      </c>
      <c r="B1024" s="677"/>
      <c r="C1024" s="672"/>
      <c r="D1024" s="672"/>
      <c r="E1024" s="676" t="s">
        <v>1866</v>
      </c>
      <c r="F1024" s="680" t="s">
        <v>1867</v>
      </c>
      <c r="G1024" s="710">
        <v>500</v>
      </c>
      <c r="H1024" s="682">
        <v>2110</v>
      </c>
      <c r="J1024" s="668" t="str">
        <f t="shared" si="162"/>
        <v>(2) Other Purchased Services</v>
      </c>
      <c r="L1024" s="668">
        <v>119</v>
      </c>
      <c r="M1024" s="669">
        <v>110</v>
      </c>
      <c r="N1024" s="668"/>
      <c r="O1024" s="668">
        <v>13</v>
      </c>
      <c r="P1024" s="668" t="str">
        <f>IFERROR(VLOOKUP(F1024, [2]MOE!B:C, 2, FALSE), "No")</f>
        <v>No</v>
      </c>
      <c r="Q1024" s="711" t="s">
        <v>1546</v>
      </c>
      <c r="S1024" s="670" t="s">
        <v>1847</v>
      </c>
      <c r="T1024" s="668" t="s">
        <v>252</v>
      </c>
    </row>
    <row r="1025" spans="1:20">
      <c r="A1025" s="671"/>
      <c r="B1025" s="677"/>
      <c r="C1025" s="672"/>
      <c r="D1025" s="672" t="s">
        <v>850</v>
      </c>
      <c r="E1025" s="676" t="s">
        <v>254</v>
      </c>
      <c r="F1025" s="675"/>
      <c r="G1025" s="672"/>
      <c r="H1025" s="676"/>
      <c r="Q1025" s="711"/>
      <c r="S1025" s="670"/>
    </row>
    <row r="1026" spans="1:20">
      <c r="A1026" s="679">
        <v>6152110</v>
      </c>
      <c r="B1026" s="677"/>
      <c r="C1026" s="672"/>
      <c r="D1026" s="672"/>
      <c r="E1026" s="676" t="s">
        <v>1139</v>
      </c>
      <c r="F1026" s="680" t="s">
        <v>1868</v>
      </c>
      <c r="G1026" s="710">
        <v>615</v>
      </c>
      <c r="H1026" s="682">
        <v>2110</v>
      </c>
      <c r="J1026" s="668" t="str">
        <f t="shared" ref="J1026:J1028" si="163">E1026</f>
        <v>(1) Technology-Related Supplies</v>
      </c>
      <c r="L1026" s="668">
        <v>126</v>
      </c>
      <c r="M1026" s="669">
        <v>117</v>
      </c>
      <c r="N1026" s="668"/>
      <c r="O1026" s="668">
        <v>13</v>
      </c>
      <c r="P1026" s="668" t="str">
        <f>IFERROR(VLOOKUP(F1026, [2]MOE!B:C, 2, FALSE), "No")</f>
        <v>No</v>
      </c>
      <c r="Q1026" s="711" t="s">
        <v>1546</v>
      </c>
      <c r="S1026" s="670" t="s">
        <v>1847</v>
      </c>
      <c r="T1026" s="668" t="s">
        <v>1043</v>
      </c>
    </row>
    <row r="1027" spans="1:20">
      <c r="A1027" s="679">
        <v>6102110</v>
      </c>
      <c r="B1027" s="677"/>
      <c r="C1027" s="672"/>
      <c r="D1027" s="672"/>
      <c r="E1027" s="676" t="s">
        <v>1141</v>
      </c>
      <c r="F1027" s="680" t="s">
        <v>1869</v>
      </c>
      <c r="G1027" s="710">
        <v>610</v>
      </c>
      <c r="H1027" s="682">
        <v>2110</v>
      </c>
      <c r="J1027" s="668" t="str">
        <f t="shared" si="163"/>
        <v>(2) Materials and Supplies</v>
      </c>
      <c r="L1027" s="668">
        <v>122</v>
      </c>
      <c r="M1027" s="669">
        <v>113</v>
      </c>
      <c r="N1027" s="668"/>
      <c r="O1027" s="668">
        <v>13</v>
      </c>
      <c r="P1027" s="668" t="str">
        <f>IFERROR(VLOOKUP(F1027, [2]MOE!B:C, 2, FALSE), "No")</f>
        <v>No</v>
      </c>
      <c r="Q1027" s="711" t="s">
        <v>1546</v>
      </c>
      <c r="S1027" s="670" t="s">
        <v>1847</v>
      </c>
      <c r="T1027" s="668" t="s">
        <v>39</v>
      </c>
    </row>
    <row r="1028" spans="1:20">
      <c r="A1028" s="679">
        <v>6002110</v>
      </c>
      <c r="B1028" s="677"/>
      <c r="C1028" s="672"/>
      <c r="D1028" s="672"/>
      <c r="E1028" s="676" t="s">
        <v>1870</v>
      </c>
      <c r="F1028" s="680" t="s">
        <v>1871</v>
      </c>
      <c r="G1028" s="710">
        <v>600</v>
      </c>
      <c r="H1028" s="682">
        <v>2110</v>
      </c>
      <c r="J1028" s="668" t="str">
        <f t="shared" si="163"/>
        <v>(3) Other Supplies</v>
      </c>
      <c r="L1028" s="668">
        <v>126</v>
      </c>
      <c r="M1028" s="669">
        <v>117</v>
      </c>
      <c r="N1028" s="668"/>
      <c r="O1028" s="668">
        <v>13</v>
      </c>
      <c r="P1028" s="668" t="str">
        <f>IFERROR(VLOOKUP(F1028, [2]MOE!B:C, 2, FALSE), "No")</f>
        <v>No</v>
      </c>
      <c r="Q1028" s="711" t="s">
        <v>1546</v>
      </c>
      <c r="S1028" s="670" t="s">
        <v>1847</v>
      </c>
      <c r="T1028" s="668" t="s">
        <v>1050</v>
      </c>
    </row>
    <row r="1029" spans="1:20">
      <c r="A1029" s="671"/>
      <c r="B1029" s="677"/>
      <c r="C1029" s="672"/>
      <c r="D1029" s="672" t="s">
        <v>853</v>
      </c>
      <c r="E1029" s="676" t="s">
        <v>1052</v>
      </c>
      <c r="F1029" s="675"/>
      <c r="G1029" s="672"/>
      <c r="H1029" s="676"/>
      <c r="Q1029" s="711"/>
      <c r="S1029" s="670"/>
    </row>
    <row r="1030" spans="1:20">
      <c r="A1030" s="679">
        <v>7342110</v>
      </c>
      <c r="B1030" s="677"/>
      <c r="C1030" s="672"/>
      <c r="D1030" s="672"/>
      <c r="E1030" s="676" t="s">
        <v>1147</v>
      </c>
      <c r="F1030" s="680" t="s">
        <v>1872</v>
      </c>
      <c r="G1030" s="710">
        <v>734</v>
      </c>
      <c r="H1030" s="682">
        <v>2110</v>
      </c>
      <c r="J1030" s="668" t="str">
        <f t="shared" ref="J1030:J1033" si="164">E1030</f>
        <v>(1) Technology-Related Hardware</v>
      </c>
      <c r="L1030" s="668">
        <v>131</v>
      </c>
      <c r="M1030" s="669">
        <v>122</v>
      </c>
      <c r="N1030" s="668"/>
      <c r="O1030" s="668">
        <v>13</v>
      </c>
      <c r="P1030" s="668" t="str">
        <f>IFERROR(VLOOKUP(F1030, [2]MOE!B:C, 2, FALSE), "No")</f>
        <v>No</v>
      </c>
      <c r="Q1030" s="711" t="s">
        <v>1546</v>
      </c>
      <c r="S1030" s="670" t="s">
        <v>1847</v>
      </c>
      <c r="T1030" s="668" t="s">
        <v>1053</v>
      </c>
    </row>
    <row r="1031" spans="1:20">
      <c r="A1031" s="679">
        <v>7352110</v>
      </c>
      <c r="B1031" s="677"/>
      <c r="C1031" s="672"/>
      <c r="D1031" s="672"/>
      <c r="E1031" s="676" t="s">
        <v>1149</v>
      </c>
      <c r="F1031" s="680" t="s">
        <v>1873</v>
      </c>
      <c r="G1031" s="710">
        <v>735</v>
      </c>
      <c r="H1031" s="682">
        <v>2110</v>
      </c>
      <c r="J1031" s="668" t="str">
        <f t="shared" si="164"/>
        <v>(2) Technology Software</v>
      </c>
      <c r="L1031" s="668">
        <v>131</v>
      </c>
      <c r="M1031" s="669">
        <v>122</v>
      </c>
      <c r="N1031" s="668"/>
      <c r="O1031" s="668">
        <v>13</v>
      </c>
      <c r="P1031" s="668" t="str">
        <f>IFERROR(VLOOKUP(F1031, [2]MOE!B:C, 2, FALSE), "No")</f>
        <v>No</v>
      </c>
      <c r="Q1031" s="711" t="s">
        <v>1546</v>
      </c>
      <c r="S1031" s="670" t="s">
        <v>1847</v>
      </c>
      <c r="T1031" s="668" t="s">
        <v>1055</v>
      </c>
    </row>
    <row r="1032" spans="1:20">
      <c r="A1032" s="679">
        <v>7302110</v>
      </c>
      <c r="B1032" s="677"/>
      <c r="C1032" s="672"/>
      <c r="D1032" s="672"/>
      <c r="E1032" s="676" t="s">
        <v>1151</v>
      </c>
      <c r="F1032" s="680" t="s">
        <v>1874</v>
      </c>
      <c r="G1032" s="710">
        <v>730</v>
      </c>
      <c r="H1032" s="682">
        <v>2110</v>
      </c>
      <c r="J1032" s="668" t="str">
        <f t="shared" si="164"/>
        <v>(3) All Other Equipment</v>
      </c>
      <c r="L1032" s="668">
        <v>131</v>
      </c>
      <c r="M1032" s="669">
        <v>122</v>
      </c>
      <c r="N1032" s="668"/>
      <c r="O1032" s="668">
        <v>13</v>
      </c>
      <c r="P1032" s="668" t="str">
        <f>IFERROR(VLOOKUP(F1032, [2]MOE!B:C, 2, FALSE), "No")</f>
        <v>No</v>
      </c>
      <c r="Q1032" s="711" t="s">
        <v>1546</v>
      </c>
      <c r="S1032" s="670" t="s">
        <v>1847</v>
      </c>
      <c r="T1032" s="668" t="s">
        <v>1057</v>
      </c>
    </row>
    <row r="1033" spans="1:20">
      <c r="A1033" s="679">
        <v>7002110</v>
      </c>
      <c r="B1033" s="677"/>
      <c r="C1033" s="672"/>
      <c r="D1033" s="672"/>
      <c r="E1033" s="676" t="s">
        <v>1153</v>
      </c>
      <c r="F1033" s="680" t="s">
        <v>1875</v>
      </c>
      <c r="G1033" s="710">
        <v>700</v>
      </c>
      <c r="H1033" s="682">
        <v>2110</v>
      </c>
      <c r="J1033" s="668" t="str">
        <f t="shared" si="164"/>
        <v>(4) Other Property</v>
      </c>
      <c r="L1033" s="668">
        <v>132</v>
      </c>
      <c r="M1033" s="669">
        <v>123</v>
      </c>
      <c r="N1033" s="668"/>
      <c r="O1033" s="668">
        <v>13</v>
      </c>
      <c r="P1033" s="668" t="str">
        <f>IFERROR(VLOOKUP(F1033, [2]MOE!B:C, 2, FALSE), "No")</f>
        <v>No</v>
      </c>
      <c r="Q1033" s="711" t="s">
        <v>1546</v>
      </c>
      <c r="S1033" s="670" t="s">
        <v>1847</v>
      </c>
      <c r="T1033" s="668" t="s">
        <v>1059</v>
      </c>
    </row>
    <row r="1034" spans="1:20">
      <c r="A1034" s="671"/>
      <c r="B1034" s="677"/>
      <c r="C1034" s="672"/>
      <c r="D1034" s="672" t="s">
        <v>856</v>
      </c>
      <c r="E1034" s="676" t="s">
        <v>256</v>
      </c>
      <c r="F1034" s="675"/>
      <c r="G1034" s="672"/>
      <c r="H1034" s="676"/>
      <c r="Q1034" s="711"/>
      <c r="S1034" s="670"/>
    </row>
    <row r="1035" spans="1:20">
      <c r="A1035" s="679">
        <v>8952110</v>
      </c>
      <c r="B1035" s="677"/>
      <c r="C1035" s="672"/>
      <c r="D1035" s="672"/>
      <c r="E1035" s="676" t="s">
        <v>1155</v>
      </c>
      <c r="F1035" s="680" t="s">
        <v>1876</v>
      </c>
      <c r="G1035" s="710">
        <v>895</v>
      </c>
      <c r="H1035" s="682">
        <v>2110</v>
      </c>
      <c r="J1035" s="668" t="str">
        <f t="shared" ref="J1035:J1036" si="165">E1035</f>
        <v>(1) Miscellaneous Non-Public Expenditures</v>
      </c>
      <c r="L1035" s="668">
        <v>139</v>
      </c>
      <c r="M1035" s="669">
        <v>129</v>
      </c>
      <c r="N1035" s="668"/>
      <c r="O1035" s="668">
        <v>13</v>
      </c>
      <c r="P1035" s="668" t="str">
        <f>IFERROR(VLOOKUP(F1035, [2]MOE!B:C, 2, FALSE), "No")</f>
        <v>No</v>
      </c>
      <c r="Q1035" s="711" t="s">
        <v>1546</v>
      </c>
      <c r="S1035" s="670" t="s">
        <v>1847</v>
      </c>
      <c r="T1035" s="668" t="s">
        <v>1061</v>
      </c>
    </row>
    <row r="1036" spans="1:20">
      <c r="A1036" s="679">
        <v>8002110</v>
      </c>
      <c r="B1036" s="677"/>
      <c r="C1036" s="672"/>
      <c r="D1036" s="672"/>
      <c r="E1036" s="676" t="s">
        <v>1157</v>
      </c>
      <c r="F1036" s="680" t="s">
        <v>1877</v>
      </c>
      <c r="G1036" s="710">
        <v>800</v>
      </c>
      <c r="H1036" s="682">
        <v>2110</v>
      </c>
      <c r="J1036" s="668" t="str">
        <f t="shared" si="165"/>
        <v>(2) Other Miscellaneous Expenditures</v>
      </c>
      <c r="L1036" s="668">
        <v>139</v>
      </c>
      <c r="M1036" s="669">
        <v>129</v>
      </c>
      <c r="N1036" s="668"/>
      <c r="O1036" s="668">
        <v>13</v>
      </c>
      <c r="P1036" s="668" t="str">
        <f>IFERROR(VLOOKUP(F1036, [2]MOE!B:C, 2, FALSE), "No")</f>
        <v>No</v>
      </c>
      <c r="Q1036" s="711" t="s">
        <v>1546</v>
      </c>
      <c r="S1036" s="670" t="s">
        <v>1847</v>
      </c>
      <c r="T1036" s="668" t="s">
        <v>1063</v>
      </c>
    </row>
    <row r="1037" spans="1:20">
      <c r="A1037" s="671"/>
      <c r="B1037" s="677"/>
      <c r="C1037" s="672"/>
      <c r="D1037" s="672" t="s">
        <v>859</v>
      </c>
      <c r="E1037" s="676" t="s">
        <v>1065</v>
      </c>
      <c r="F1037" s="675"/>
      <c r="G1037" s="672"/>
      <c r="H1037" s="676"/>
      <c r="Q1037" s="711"/>
      <c r="S1037" s="670"/>
    </row>
    <row r="1038" spans="1:20">
      <c r="A1038" s="679">
        <v>2102110</v>
      </c>
      <c r="B1038" s="677"/>
      <c r="C1038" s="672"/>
      <c r="D1038" s="672"/>
      <c r="E1038" s="676" t="s">
        <v>1159</v>
      </c>
      <c r="F1038" s="680" t="s">
        <v>1878</v>
      </c>
      <c r="G1038" s="710">
        <v>210</v>
      </c>
      <c r="H1038" s="682">
        <v>2110</v>
      </c>
      <c r="J1038" s="668" t="str">
        <f t="shared" ref="J1038:J1040" si="166">E1038</f>
        <v>(1) Group Insurance</v>
      </c>
      <c r="L1038" s="668">
        <v>89</v>
      </c>
      <c r="M1038" s="669">
        <v>84</v>
      </c>
      <c r="N1038" s="668"/>
      <c r="O1038" s="668">
        <v>13</v>
      </c>
      <c r="P1038" s="668" t="str">
        <f>IFERROR(VLOOKUP(F1038, [2]MOE!B:C, 2, FALSE), "No")</f>
        <v>No</v>
      </c>
      <c r="Q1038" s="711" t="s">
        <v>1546</v>
      </c>
      <c r="S1038" s="670" t="s">
        <v>1847</v>
      </c>
      <c r="T1038" s="668" t="s">
        <v>1066</v>
      </c>
    </row>
    <row r="1039" spans="1:20">
      <c r="A1039" s="679">
        <v>2202110</v>
      </c>
      <c r="B1039" s="677"/>
      <c r="C1039" s="672"/>
      <c r="D1039" s="672"/>
      <c r="E1039" s="676" t="s">
        <v>1161</v>
      </c>
      <c r="F1039" s="680" t="s">
        <v>1879</v>
      </c>
      <c r="G1039" s="710">
        <v>220</v>
      </c>
      <c r="H1039" s="682">
        <v>2110</v>
      </c>
      <c r="J1039" s="668" t="str">
        <f t="shared" si="166"/>
        <v>(2) FICA</v>
      </c>
      <c r="L1039" s="668">
        <v>90</v>
      </c>
      <c r="M1039" s="669">
        <v>85</v>
      </c>
      <c r="N1039" s="668"/>
      <c r="O1039" s="668">
        <v>13</v>
      </c>
      <c r="P1039" s="668" t="str">
        <f>IFERROR(VLOOKUP(F1039, [2]MOE!B:C, 2, FALSE), "No")</f>
        <v>No</v>
      </c>
      <c r="Q1039" s="711" t="s">
        <v>1546</v>
      </c>
      <c r="S1039" s="670" t="s">
        <v>1847</v>
      </c>
      <c r="T1039" s="668" t="s">
        <v>1068</v>
      </c>
    </row>
    <row r="1040" spans="1:20">
      <c r="A1040" s="679">
        <v>2252110</v>
      </c>
      <c r="B1040" s="677"/>
      <c r="C1040" s="672"/>
      <c r="D1040" s="672"/>
      <c r="E1040" s="676" t="s">
        <v>1163</v>
      </c>
      <c r="F1040" s="680" t="s">
        <v>1880</v>
      </c>
      <c r="G1040" s="710">
        <v>225</v>
      </c>
      <c r="H1040" s="682">
        <v>2110</v>
      </c>
      <c r="J1040" s="668" t="str">
        <f t="shared" si="166"/>
        <v>(3) Medicare</v>
      </c>
      <c r="L1040" s="668">
        <v>91</v>
      </c>
      <c r="M1040" s="669">
        <v>86</v>
      </c>
      <c r="N1040" s="668"/>
      <c r="O1040" s="668">
        <v>13</v>
      </c>
      <c r="P1040" s="668" t="str">
        <f>IFERROR(VLOOKUP(F1040, [2]MOE!B:C, 2, FALSE), "No")</f>
        <v>No</v>
      </c>
      <c r="Q1040" s="711" t="s">
        <v>1546</v>
      </c>
      <c r="S1040" s="670" t="s">
        <v>1847</v>
      </c>
      <c r="T1040" s="668" t="s">
        <v>23</v>
      </c>
    </row>
    <row r="1041" spans="1:20">
      <c r="A1041" s="671"/>
      <c r="B1041" s="677"/>
      <c r="C1041" s="672"/>
      <c r="D1041" s="672"/>
      <c r="E1041" s="676" t="s">
        <v>1165</v>
      </c>
      <c r="F1041" s="675"/>
      <c r="G1041" s="672"/>
      <c r="H1041" s="676"/>
      <c r="Q1041" s="711"/>
      <c r="S1041" s="670"/>
    </row>
    <row r="1042" spans="1:20">
      <c r="A1042" s="679">
        <v>2312110</v>
      </c>
      <c r="B1042" s="677"/>
      <c r="C1042" s="672"/>
      <c r="D1042" s="672"/>
      <c r="E1042" s="676" t="s">
        <v>1166</v>
      </c>
      <c r="F1042" s="680" t="s">
        <v>1881</v>
      </c>
      <c r="G1042" s="710">
        <v>231</v>
      </c>
      <c r="H1042" s="682">
        <v>2110</v>
      </c>
      <c r="J1042" s="668" t="str">
        <f t="shared" ref="J1042:J1050" si="167">E1042</f>
        <v>(a) Louisiana Teachers Retirement</v>
      </c>
      <c r="L1042" s="668">
        <v>92</v>
      </c>
      <c r="M1042" s="669">
        <v>87</v>
      </c>
      <c r="N1042" s="668"/>
      <c r="O1042" s="668">
        <v>13</v>
      </c>
      <c r="P1042" s="668" t="str">
        <f>IFERROR(VLOOKUP(F1042, [2]MOE!B:C, 2, FALSE), "No")</f>
        <v>No</v>
      </c>
      <c r="Q1042" s="711" t="s">
        <v>1546</v>
      </c>
      <c r="S1042" s="670" t="s">
        <v>1847</v>
      </c>
      <c r="T1042" s="668" t="s">
        <v>1074</v>
      </c>
    </row>
    <row r="1043" spans="1:20">
      <c r="A1043" s="679">
        <v>2332110</v>
      </c>
      <c r="B1043" s="677"/>
      <c r="C1043" s="672"/>
      <c r="D1043" s="672"/>
      <c r="E1043" s="676" t="s">
        <v>1168</v>
      </c>
      <c r="F1043" s="680" t="s">
        <v>1882</v>
      </c>
      <c r="G1043" s="710">
        <v>233</v>
      </c>
      <c r="H1043" s="682">
        <v>2110</v>
      </c>
      <c r="J1043" s="668" t="str">
        <f t="shared" si="167"/>
        <v>(b) Louisiana School Emp. Retirement</v>
      </c>
      <c r="L1043" s="668">
        <v>92</v>
      </c>
      <c r="M1043" s="669">
        <v>87</v>
      </c>
      <c r="N1043" s="668"/>
      <c r="O1043" s="668">
        <v>13</v>
      </c>
      <c r="P1043" s="668" t="str">
        <f>IFERROR(VLOOKUP(F1043, [2]MOE!B:C, 2, FALSE), "No")</f>
        <v>No</v>
      </c>
      <c r="Q1043" s="711" t="s">
        <v>1546</v>
      </c>
      <c r="S1043" s="670" t="s">
        <v>1847</v>
      </c>
      <c r="T1043" s="668" t="s">
        <v>1170</v>
      </c>
    </row>
    <row r="1044" spans="1:20">
      <c r="A1044" s="679">
        <v>2392110</v>
      </c>
      <c r="B1044" s="677"/>
      <c r="C1044" s="672"/>
      <c r="D1044" s="672"/>
      <c r="E1044" s="676" t="s">
        <v>1171</v>
      </c>
      <c r="F1044" s="680" t="s">
        <v>1883</v>
      </c>
      <c r="G1044" s="710">
        <v>239</v>
      </c>
      <c r="H1044" s="682">
        <v>2110</v>
      </c>
      <c r="J1044" s="668" t="str">
        <f t="shared" si="167"/>
        <v>(c) Other Retirement</v>
      </c>
      <c r="L1044" s="668">
        <v>92</v>
      </c>
      <c r="M1044" s="669">
        <v>87</v>
      </c>
      <c r="N1044" s="668"/>
      <c r="O1044" s="668">
        <v>13</v>
      </c>
      <c r="P1044" s="668" t="str">
        <f>IFERROR(VLOOKUP(F1044, [2]MOE!B:C, 2, FALSE), "No")</f>
        <v>No</v>
      </c>
      <c r="Q1044" s="711" t="s">
        <v>1546</v>
      </c>
      <c r="S1044" s="670" t="s">
        <v>1847</v>
      </c>
      <c r="T1044" s="668" t="s">
        <v>1080</v>
      </c>
    </row>
    <row r="1045" spans="1:20">
      <c r="A1045" s="679">
        <v>2502110</v>
      </c>
      <c r="B1045" s="677"/>
      <c r="C1045" s="672"/>
      <c r="D1045" s="672"/>
      <c r="E1045" s="676" t="s">
        <v>1173</v>
      </c>
      <c r="F1045" s="680" t="s">
        <v>1884</v>
      </c>
      <c r="G1045" s="710">
        <v>250</v>
      </c>
      <c r="H1045" s="682">
        <v>2110</v>
      </c>
      <c r="J1045" s="668" t="str">
        <f t="shared" si="167"/>
        <v>(5) Unemployment Compensation</v>
      </c>
      <c r="L1045" s="668">
        <v>93</v>
      </c>
      <c r="M1045" s="669">
        <v>88</v>
      </c>
      <c r="N1045" s="668"/>
      <c r="O1045" s="668">
        <v>13</v>
      </c>
      <c r="P1045" s="668" t="str">
        <f>IFERROR(VLOOKUP(F1045, [2]MOE!B:C, 2, FALSE), "No")</f>
        <v>No</v>
      </c>
      <c r="Q1045" s="711" t="s">
        <v>1546</v>
      </c>
      <c r="S1045" s="670" t="s">
        <v>1847</v>
      </c>
      <c r="T1045" s="668" t="s">
        <v>1081</v>
      </c>
    </row>
    <row r="1046" spans="1:20">
      <c r="A1046" s="679">
        <v>2602110</v>
      </c>
      <c r="B1046" s="677"/>
      <c r="C1046" s="672"/>
      <c r="D1046" s="672"/>
      <c r="E1046" s="676" t="s">
        <v>1175</v>
      </c>
      <c r="F1046" s="680" t="s">
        <v>1885</v>
      </c>
      <c r="G1046" s="710">
        <v>260</v>
      </c>
      <c r="H1046" s="682">
        <v>2110</v>
      </c>
      <c r="J1046" s="668" t="str">
        <f t="shared" si="167"/>
        <v>(6) Workmen's Compensation</v>
      </c>
      <c r="L1046" s="668">
        <v>95</v>
      </c>
      <c r="M1046" s="669">
        <v>90</v>
      </c>
      <c r="N1046" s="668"/>
      <c r="O1046" s="668">
        <v>13</v>
      </c>
      <c r="P1046" s="668" t="str">
        <f>IFERROR(VLOOKUP(F1046, [2]MOE!B:C, 2, FALSE), "No")</f>
        <v>No</v>
      </c>
      <c r="Q1046" s="711" t="s">
        <v>1546</v>
      </c>
      <c r="S1046" s="670" t="s">
        <v>1847</v>
      </c>
      <c r="T1046" s="668" t="s">
        <v>1083</v>
      </c>
    </row>
    <row r="1047" spans="1:20">
      <c r="A1047" s="679">
        <v>2702110</v>
      </c>
      <c r="B1047" s="677"/>
      <c r="C1047" s="672"/>
      <c r="D1047" s="672"/>
      <c r="E1047" s="676" t="s">
        <v>1177</v>
      </c>
      <c r="F1047" s="680" t="s">
        <v>1886</v>
      </c>
      <c r="G1047" s="710">
        <v>270</v>
      </c>
      <c r="H1047" s="682">
        <v>2110</v>
      </c>
      <c r="J1047" s="668" t="str">
        <f t="shared" si="167"/>
        <v>(7) Health Benefits (retirees)</v>
      </c>
      <c r="L1047" s="668">
        <v>94</v>
      </c>
      <c r="M1047" s="669">
        <v>89</v>
      </c>
      <c r="N1047" s="668"/>
      <c r="O1047" s="668">
        <v>13</v>
      </c>
      <c r="P1047" s="668" t="str">
        <f>IFERROR(VLOOKUP(F1047, [2]MOE!B:C, 2, FALSE), "No")</f>
        <v>No</v>
      </c>
      <c r="Q1047" s="711" t="s">
        <v>1546</v>
      </c>
      <c r="S1047" s="670" t="s">
        <v>1847</v>
      </c>
      <c r="T1047" s="668" t="s">
        <v>1085</v>
      </c>
    </row>
    <row r="1048" spans="1:20">
      <c r="A1048" s="679">
        <v>2812110</v>
      </c>
      <c r="B1048" s="677"/>
      <c r="C1048" s="672"/>
      <c r="D1048" s="672"/>
      <c r="E1048" s="676" t="s">
        <v>1179</v>
      </c>
      <c r="F1048" s="680" t="s">
        <v>1887</v>
      </c>
      <c r="G1048" s="710">
        <v>281</v>
      </c>
      <c r="H1048" s="682">
        <v>2110</v>
      </c>
      <c r="J1048" s="668" t="str">
        <f t="shared" si="167"/>
        <v>(8) Sick Leave Severance Pay</v>
      </c>
      <c r="L1048" s="668">
        <v>95</v>
      </c>
      <c r="M1048" s="669">
        <v>90</v>
      </c>
      <c r="N1048" s="668"/>
      <c r="O1048" s="668">
        <v>13</v>
      </c>
      <c r="P1048" s="668" t="str">
        <f>IFERROR(VLOOKUP(F1048, [2]MOE!B:C, 2, FALSE), "No")</f>
        <v>No</v>
      </c>
      <c r="Q1048" s="711" t="s">
        <v>1546</v>
      </c>
      <c r="S1048" s="670" t="s">
        <v>1847</v>
      </c>
      <c r="T1048" s="668" t="s">
        <v>1087</v>
      </c>
    </row>
    <row r="1049" spans="1:20">
      <c r="A1049" s="679">
        <v>2822110</v>
      </c>
      <c r="B1049" s="677"/>
      <c r="C1049" s="672"/>
      <c r="D1049" s="672"/>
      <c r="E1049" s="676" t="s">
        <v>1181</v>
      </c>
      <c r="F1049" s="680" t="s">
        <v>1888</v>
      </c>
      <c r="G1049" s="710">
        <v>282</v>
      </c>
      <c r="H1049" s="682">
        <v>2110</v>
      </c>
      <c r="J1049" s="668" t="str">
        <f t="shared" si="167"/>
        <v>(9) Annual Leave Severance Pay</v>
      </c>
      <c r="L1049" s="668">
        <v>95</v>
      </c>
      <c r="M1049" s="669">
        <v>90</v>
      </c>
      <c r="N1049" s="668"/>
      <c r="O1049" s="668">
        <v>13</v>
      </c>
      <c r="P1049" s="668" t="str">
        <f>IFERROR(VLOOKUP(F1049, [2]MOE!B:C, 2, FALSE), "No")</f>
        <v>No</v>
      </c>
      <c r="Q1049" s="711" t="s">
        <v>1546</v>
      </c>
      <c r="S1049" s="670" t="s">
        <v>1847</v>
      </c>
      <c r="T1049" s="668" t="s">
        <v>1089</v>
      </c>
    </row>
    <row r="1050" spans="1:20">
      <c r="A1050" s="679">
        <v>2902110</v>
      </c>
      <c r="B1050" s="677"/>
      <c r="C1050" s="672"/>
      <c r="D1050" s="672"/>
      <c r="E1050" s="676" t="s">
        <v>1183</v>
      </c>
      <c r="F1050" s="680" t="s">
        <v>1889</v>
      </c>
      <c r="G1050" s="710">
        <v>290</v>
      </c>
      <c r="H1050" s="682">
        <v>2110</v>
      </c>
      <c r="J1050" s="668" t="str">
        <f t="shared" si="167"/>
        <v>(10) Other Employee Benefits</v>
      </c>
      <c r="L1050" s="668">
        <v>95</v>
      </c>
      <c r="M1050" s="669">
        <v>90</v>
      </c>
      <c r="N1050" s="668"/>
      <c r="O1050" s="668">
        <v>13</v>
      </c>
      <c r="P1050" s="668" t="str">
        <f>IFERROR(VLOOKUP(F1050, [2]MOE!B:C, 2, FALSE), "No")</f>
        <v>No</v>
      </c>
      <c r="Q1050" s="711" t="s">
        <v>1546</v>
      </c>
      <c r="S1050" s="670" t="s">
        <v>1847</v>
      </c>
      <c r="T1050" s="668" t="s">
        <v>1092</v>
      </c>
    </row>
    <row r="1051" spans="1:20">
      <c r="A1051" s="671"/>
      <c r="B1051" s="677"/>
      <c r="C1051" s="678">
        <v>48</v>
      </c>
      <c r="D1051" s="925" t="s">
        <v>1890</v>
      </c>
      <c r="E1051" s="926"/>
      <c r="F1051" s="675"/>
      <c r="G1051" s="672"/>
      <c r="H1051" s="676"/>
      <c r="Q1051" s="711"/>
      <c r="S1051" s="670"/>
    </row>
    <row r="1052" spans="1:20">
      <c r="A1052" s="671"/>
      <c r="B1052" s="677"/>
      <c r="C1052" s="672"/>
      <c r="D1052" s="672" t="s">
        <v>759</v>
      </c>
      <c r="E1052" s="676" t="s">
        <v>244</v>
      </c>
      <c r="F1052" s="675"/>
      <c r="G1052" s="672"/>
      <c r="H1052" s="676"/>
      <c r="Q1052" s="711"/>
      <c r="S1052" s="670"/>
    </row>
    <row r="1053" spans="1:20">
      <c r="A1053" s="679">
        <v>1112121</v>
      </c>
      <c r="B1053" s="677"/>
      <c r="C1053" s="672"/>
      <c r="D1053" s="672"/>
      <c r="E1053" s="676" t="s">
        <v>1845</v>
      </c>
      <c r="F1053" s="680" t="s">
        <v>1891</v>
      </c>
      <c r="G1053" s="710">
        <v>111</v>
      </c>
      <c r="H1053" s="682">
        <v>2121</v>
      </c>
      <c r="J1053" s="668" t="str">
        <f t="shared" ref="J1053:J1058" si="168">E1053</f>
        <v>(1) Supervisors</v>
      </c>
      <c r="L1053" s="668">
        <v>81</v>
      </c>
      <c r="M1053" s="669">
        <v>76</v>
      </c>
      <c r="N1053" s="668"/>
      <c r="O1053" s="668">
        <v>13</v>
      </c>
      <c r="P1053" s="668" t="str">
        <f>IFERROR(VLOOKUP(F1053, [2]MOE!B:C, 2, FALSE), "No")</f>
        <v>No</v>
      </c>
      <c r="Q1053" s="711" t="s">
        <v>1004</v>
      </c>
      <c r="S1053" s="670" t="s">
        <v>1892</v>
      </c>
      <c r="T1053" s="668" t="s">
        <v>1848</v>
      </c>
    </row>
    <row r="1054" spans="1:20">
      <c r="A1054" s="679">
        <v>1132122</v>
      </c>
      <c r="B1054" s="677"/>
      <c r="C1054" s="672"/>
      <c r="D1054" s="672"/>
      <c r="E1054" s="676" t="s">
        <v>1893</v>
      </c>
      <c r="F1054" s="680" t="s">
        <v>1894</v>
      </c>
      <c r="G1054" s="710">
        <v>113</v>
      </c>
      <c r="H1054" s="682">
        <v>2122</v>
      </c>
      <c r="J1054" s="668" t="str">
        <f t="shared" si="168"/>
        <v>(2) Guidance Counselors</v>
      </c>
      <c r="L1054" s="668">
        <v>83</v>
      </c>
      <c r="M1054" s="669">
        <v>78</v>
      </c>
      <c r="N1054" s="668"/>
      <c r="O1054" s="668">
        <v>13</v>
      </c>
      <c r="P1054" s="668" t="str">
        <f>IFERROR(VLOOKUP(F1054, [2]MOE!B:C, 2, FALSE), "No")</f>
        <v>No</v>
      </c>
      <c r="Q1054" s="711" t="s">
        <v>1004</v>
      </c>
      <c r="S1054" s="670" t="s">
        <v>1892</v>
      </c>
      <c r="T1054" s="668" t="s">
        <v>1895</v>
      </c>
    </row>
    <row r="1055" spans="1:20">
      <c r="A1055" s="679">
        <v>1142120</v>
      </c>
      <c r="B1055" s="677"/>
      <c r="C1055" s="672"/>
      <c r="D1055" s="672"/>
      <c r="E1055" s="676" t="s">
        <v>1852</v>
      </c>
      <c r="F1055" s="680" t="s">
        <v>1896</v>
      </c>
      <c r="G1055" s="710">
        <v>114</v>
      </c>
      <c r="H1055" s="682">
        <v>2120</v>
      </c>
      <c r="J1055" s="668" t="str">
        <f t="shared" si="168"/>
        <v>(3) Clerical/Secretarial</v>
      </c>
      <c r="L1055" s="668">
        <v>84</v>
      </c>
      <c r="M1055" s="669">
        <v>79</v>
      </c>
      <c r="N1055" s="668"/>
      <c r="O1055" s="668">
        <v>13</v>
      </c>
      <c r="P1055" s="668" t="str">
        <f>IFERROR(VLOOKUP(F1055, [2]MOE!B:C, 2, FALSE), "No")</f>
        <v>No</v>
      </c>
      <c r="Q1055" s="711" t="s">
        <v>1004</v>
      </c>
      <c r="S1055" s="670" t="s">
        <v>1892</v>
      </c>
      <c r="T1055" s="668" t="s">
        <v>1854</v>
      </c>
    </row>
    <row r="1056" spans="1:20">
      <c r="A1056" s="679">
        <v>1002120</v>
      </c>
      <c r="B1056" s="677"/>
      <c r="C1056" s="672"/>
      <c r="D1056" s="672"/>
      <c r="E1056" s="676" t="s">
        <v>1897</v>
      </c>
      <c r="F1056" s="680" t="s">
        <v>1898</v>
      </c>
      <c r="G1056" s="710">
        <v>100</v>
      </c>
      <c r="H1056" s="682">
        <v>2120</v>
      </c>
      <c r="J1056" s="668" t="str">
        <f t="shared" si="168"/>
        <v>(4) Other Guidance Services Salaries</v>
      </c>
      <c r="L1056" s="668">
        <v>86</v>
      </c>
      <c r="M1056" s="669">
        <v>81</v>
      </c>
      <c r="N1056" s="668"/>
      <c r="O1056" s="668">
        <v>13</v>
      </c>
      <c r="P1056" s="668" t="str">
        <f>IFERROR(VLOOKUP(F1056, [2]MOE!B:C, 2, FALSE), "No")</f>
        <v>No</v>
      </c>
      <c r="Q1056" s="711" t="s">
        <v>1004</v>
      </c>
      <c r="S1056" s="670" t="s">
        <v>1892</v>
      </c>
      <c r="T1056" s="668" t="s">
        <v>1899</v>
      </c>
    </row>
    <row r="1057" spans="1:20">
      <c r="A1057" s="679">
        <v>1402120</v>
      </c>
      <c r="B1057" s="677"/>
      <c r="C1057" s="672"/>
      <c r="D1057" s="672"/>
      <c r="E1057" s="676" t="s">
        <v>1858</v>
      </c>
      <c r="F1057" s="680" t="s">
        <v>1900</v>
      </c>
      <c r="G1057" s="710">
        <v>140</v>
      </c>
      <c r="H1057" s="682">
        <v>2120</v>
      </c>
      <c r="J1057" s="668" t="str">
        <f t="shared" si="168"/>
        <v>(5) Sabbatical Leave</v>
      </c>
      <c r="L1057" s="668">
        <v>86</v>
      </c>
      <c r="M1057" s="669">
        <v>81</v>
      </c>
      <c r="N1057" s="668"/>
      <c r="O1057" s="668">
        <v>13</v>
      </c>
      <c r="P1057" s="668" t="str">
        <f>IFERROR(VLOOKUP(F1057, [2]MOE!B:C, 2, FALSE), "No")</f>
        <v>No</v>
      </c>
      <c r="Q1057" s="711" t="s">
        <v>1004</v>
      </c>
      <c r="S1057" s="670" t="s">
        <v>1892</v>
      </c>
      <c r="T1057" s="668" t="s">
        <v>1019</v>
      </c>
    </row>
    <row r="1058" spans="1:20">
      <c r="A1058" s="679">
        <v>3002120</v>
      </c>
      <c r="B1058" s="719"/>
      <c r="C1058" s="681"/>
      <c r="D1058" s="681" t="s">
        <v>777</v>
      </c>
      <c r="E1058" s="686" t="s">
        <v>1113</v>
      </c>
      <c r="F1058" s="680" t="s">
        <v>1901</v>
      </c>
      <c r="G1058" s="710">
        <v>300</v>
      </c>
      <c r="H1058" s="682">
        <v>2120</v>
      </c>
      <c r="J1058" s="668" t="str">
        <f t="shared" si="168"/>
        <v>Purchased Professional and Technical Svcs</v>
      </c>
      <c r="L1058" s="668">
        <v>101</v>
      </c>
      <c r="M1058" s="669">
        <v>96</v>
      </c>
      <c r="N1058" s="668"/>
      <c r="O1058" s="668">
        <v>13</v>
      </c>
      <c r="P1058" s="668" t="str">
        <f>IFERROR(VLOOKUP(F1058, [2]MOE!B:C, 2, FALSE), "No")</f>
        <v>No</v>
      </c>
      <c r="Q1058" s="711"/>
      <c r="S1058" s="670" t="s">
        <v>1892</v>
      </c>
      <c r="T1058" s="668" t="s">
        <v>1113</v>
      </c>
    </row>
    <row r="1059" spans="1:20">
      <c r="A1059" s="671"/>
      <c r="B1059" s="677"/>
      <c r="C1059" s="672"/>
      <c r="D1059" s="672" t="s">
        <v>801</v>
      </c>
      <c r="E1059" s="676" t="s">
        <v>250</v>
      </c>
      <c r="F1059" s="675"/>
      <c r="G1059" s="672"/>
      <c r="H1059" s="676"/>
      <c r="Q1059" s="711"/>
      <c r="S1059" s="670"/>
    </row>
    <row r="1060" spans="1:20">
      <c r="A1060" s="679">
        <v>4302120</v>
      </c>
      <c r="B1060" s="677"/>
      <c r="C1060" s="672"/>
      <c r="D1060" s="672"/>
      <c r="E1060" s="676" t="s">
        <v>1115</v>
      </c>
      <c r="F1060" s="680" t="s">
        <v>1902</v>
      </c>
      <c r="G1060" s="710">
        <v>430</v>
      </c>
      <c r="H1060" s="682">
        <v>2120</v>
      </c>
      <c r="J1060" s="668" t="str">
        <f t="shared" ref="J1060:J1062" si="169">E1060</f>
        <v>(1) Repairs and Maintenance Services</v>
      </c>
      <c r="L1060" s="668">
        <v>107</v>
      </c>
      <c r="M1060" s="669">
        <v>102</v>
      </c>
      <c r="N1060" s="668"/>
      <c r="O1060" s="668">
        <v>13</v>
      </c>
      <c r="P1060" s="668" t="str">
        <f>IFERROR(VLOOKUP(F1060, [2]MOE!B:C, 2, FALSE), "No")</f>
        <v>No</v>
      </c>
      <c r="Q1060" s="711"/>
      <c r="S1060" s="670" t="s">
        <v>1892</v>
      </c>
      <c r="T1060" s="668" t="s">
        <v>1023</v>
      </c>
    </row>
    <row r="1061" spans="1:20">
      <c r="A1061" s="679">
        <v>4422120</v>
      </c>
      <c r="B1061" s="677"/>
      <c r="C1061" s="672"/>
      <c r="D1061" s="672"/>
      <c r="E1061" s="676" t="s">
        <v>1117</v>
      </c>
      <c r="F1061" s="680" t="s">
        <v>1903</v>
      </c>
      <c r="G1061" s="710">
        <v>442</v>
      </c>
      <c r="H1061" s="682">
        <v>2120</v>
      </c>
      <c r="J1061" s="668" t="str">
        <f t="shared" si="169"/>
        <v>(2) Rental of Equipment</v>
      </c>
      <c r="L1061" s="668">
        <v>106</v>
      </c>
      <c r="M1061" s="669">
        <v>101</v>
      </c>
      <c r="N1061" s="668"/>
      <c r="O1061" s="668">
        <v>13</v>
      </c>
      <c r="P1061" s="668" t="str">
        <f>IFERROR(VLOOKUP(F1061, [2]MOE!B:C, 2, FALSE), "No")</f>
        <v>No</v>
      </c>
      <c r="Q1061" s="711"/>
      <c r="S1061" s="670" t="s">
        <v>1892</v>
      </c>
      <c r="T1061" s="668" t="s">
        <v>1025</v>
      </c>
    </row>
    <row r="1062" spans="1:20">
      <c r="A1062" s="679">
        <v>4002120</v>
      </c>
      <c r="B1062" s="677"/>
      <c r="C1062" s="672"/>
      <c r="D1062" s="672"/>
      <c r="E1062" s="676" t="s">
        <v>1119</v>
      </c>
      <c r="F1062" s="680" t="s">
        <v>1904</v>
      </c>
      <c r="G1062" s="710">
        <v>400</v>
      </c>
      <c r="H1062" s="682">
        <v>2120</v>
      </c>
      <c r="J1062" s="668" t="str">
        <f t="shared" si="169"/>
        <v>(3) Other Purchased Property Services</v>
      </c>
      <c r="L1062" s="668">
        <v>108</v>
      </c>
      <c r="M1062" s="669">
        <v>103</v>
      </c>
      <c r="N1062" s="668"/>
      <c r="O1062" s="668">
        <v>13</v>
      </c>
      <c r="P1062" s="668" t="str">
        <f>IFERROR(VLOOKUP(F1062, [2]MOE!B:C, 2, FALSE), "No")</f>
        <v>No</v>
      </c>
      <c r="Q1062" s="711"/>
      <c r="S1062" s="670" t="s">
        <v>1892</v>
      </c>
      <c r="T1062" s="668" t="s">
        <v>1027</v>
      </c>
    </row>
    <row r="1063" spans="1:20">
      <c r="A1063" s="671"/>
      <c r="B1063" s="677"/>
      <c r="C1063" s="672"/>
      <c r="D1063" s="672" t="s">
        <v>805</v>
      </c>
      <c r="E1063" s="676" t="s">
        <v>252</v>
      </c>
      <c r="F1063" s="675"/>
      <c r="G1063" s="672"/>
      <c r="H1063" s="676"/>
      <c r="Q1063" s="711"/>
      <c r="S1063" s="670"/>
    </row>
    <row r="1064" spans="1:20">
      <c r="A1064" s="679">
        <v>5822120</v>
      </c>
      <c r="B1064" s="677"/>
      <c r="C1064" s="672"/>
      <c r="D1064" s="672"/>
      <c r="E1064" s="676" t="s">
        <v>1864</v>
      </c>
      <c r="F1064" s="680" t="s">
        <v>1905</v>
      </c>
      <c r="G1064" s="710">
        <v>582</v>
      </c>
      <c r="H1064" s="682">
        <v>2120</v>
      </c>
      <c r="J1064" s="668" t="str">
        <f t="shared" ref="J1064:J1065" si="170">E1064</f>
        <v>(1) Travel Expense Reimbursement</v>
      </c>
      <c r="L1064" s="668">
        <v>118</v>
      </c>
      <c r="M1064" s="669">
        <v>109</v>
      </c>
      <c r="N1064" s="668"/>
      <c r="O1064" s="668">
        <v>13</v>
      </c>
      <c r="P1064" s="668" t="str">
        <f>IFERROR(VLOOKUP(F1064, [2]MOE!B:C, 2, FALSE), "No")</f>
        <v>No</v>
      </c>
      <c r="Q1064" s="711"/>
      <c r="S1064" s="670" t="s">
        <v>1892</v>
      </c>
      <c r="T1064" s="668" t="s">
        <v>1039</v>
      </c>
    </row>
    <row r="1065" spans="1:20">
      <c r="A1065" s="679">
        <v>5002120</v>
      </c>
      <c r="B1065" s="677"/>
      <c r="C1065" s="672"/>
      <c r="D1065" s="672"/>
      <c r="E1065" s="676" t="s">
        <v>1866</v>
      </c>
      <c r="F1065" s="680" t="s">
        <v>1906</v>
      </c>
      <c r="G1065" s="710">
        <v>500</v>
      </c>
      <c r="H1065" s="682">
        <v>2120</v>
      </c>
      <c r="J1065" s="668" t="str">
        <f t="shared" si="170"/>
        <v>(2) Other Purchased Services</v>
      </c>
      <c r="L1065" s="668">
        <v>119</v>
      </c>
      <c r="M1065" s="669">
        <v>110</v>
      </c>
      <c r="N1065" s="668"/>
      <c r="O1065" s="668">
        <v>13</v>
      </c>
      <c r="P1065" s="668" t="str">
        <f>IFERROR(VLOOKUP(F1065, [2]MOE!B:C, 2, FALSE), "No")</f>
        <v>No</v>
      </c>
      <c r="Q1065" s="711"/>
      <c r="S1065" s="670" t="s">
        <v>1892</v>
      </c>
      <c r="T1065" s="668" t="s">
        <v>252</v>
      </c>
    </row>
    <row r="1066" spans="1:20">
      <c r="A1066" s="671"/>
      <c r="B1066" s="677"/>
      <c r="C1066" s="672"/>
      <c r="D1066" s="672" t="s">
        <v>850</v>
      </c>
      <c r="E1066" s="676" t="s">
        <v>254</v>
      </c>
      <c r="F1066" s="675"/>
      <c r="G1066" s="672"/>
      <c r="H1066" s="676"/>
      <c r="Q1066" s="711"/>
      <c r="S1066" s="670"/>
    </row>
    <row r="1067" spans="1:20">
      <c r="A1067" s="679">
        <v>6152120</v>
      </c>
      <c r="B1067" s="677"/>
      <c r="C1067" s="672"/>
      <c r="D1067" s="672"/>
      <c r="E1067" s="676" t="s">
        <v>1139</v>
      </c>
      <c r="F1067" s="680" t="s">
        <v>1907</v>
      </c>
      <c r="G1067" s="710">
        <v>615</v>
      </c>
      <c r="H1067" s="682">
        <v>2120</v>
      </c>
      <c r="J1067" s="668" t="str">
        <f t="shared" ref="J1067:J1069" si="171">E1067</f>
        <v>(1) Technology-Related Supplies</v>
      </c>
      <c r="L1067" s="668">
        <v>126</v>
      </c>
      <c r="M1067" s="669">
        <v>117</v>
      </c>
      <c r="N1067" s="668"/>
      <c r="O1067" s="668">
        <v>13</v>
      </c>
      <c r="P1067" s="668" t="str">
        <f>IFERROR(VLOOKUP(F1067, [2]MOE!B:C, 2, FALSE), "No")</f>
        <v>No</v>
      </c>
      <c r="Q1067" s="711" t="s">
        <v>1045</v>
      </c>
      <c r="S1067" s="670" t="s">
        <v>1892</v>
      </c>
      <c r="T1067" s="668" t="s">
        <v>1043</v>
      </c>
    </row>
    <row r="1068" spans="1:20">
      <c r="A1068" s="679">
        <v>6102120</v>
      </c>
      <c r="B1068" s="677"/>
      <c r="C1068" s="672"/>
      <c r="D1068" s="672"/>
      <c r="E1068" s="676" t="s">
        <v>1141</v>
      </c>
      <c r="F1068" s="680" t="s">
        <v>1908</v>
      </c>
      <c r="G1068" s="710">
        <v>610</v>
      </c>
      <c r="H1068" s="682">
        <v>2120</v>
      </c>
      <c r="J1068" s="668" t="str">
        <f t="shared" si="171"/>
        <v>(2) Materials and Supplies</v>
      </c>
      <c r="L1068" s="668">
        <v>122</v>
      </c>
      <c r="M1068" s="669">
        <v>113</v>
      </c>
      <c r="N1068" s="668"/>
      <c r="O1068" s="668">
        <v>13</v>
      </c>
      <c r="P1068" s="668" t="str">
        <f>IFERROR(VLOOKUP(F1068, [2]MOE!B:C, 2, FALSE), "No")</f>
        <v>No</v>
      </c>
      <c r="Q1068" s="711" t="s">
        <v>1045</v>
      </c>
      <c r="S1068" s="670" t="s">
        <v>1892</v>
      </c>
      <c r="T1068" s="668" t="s">
        <v>39</v>
      </c>
    </row>
    <row r="1069" spans="1:20">
      <c r="A1069" s="679">
        <v>6002120</v>
      </c>
      <c r="B1069" s="677"/>
      <c r="C1069" s="672"/>
      <c r="D1069" s="672"/>
      <c r="E1069" s="676" t="s">
        <v>1870</v>
      </c>
      <c r="F1069" s="680" t="s">
        <v>1909</v>
      </c>
      <c r="G1069" s="710">
        <v>600</v>
      </c>
      <c r="H1069" s="682">
        <v>2120</v>
      </c>
      <c r="J1069" s="668" t="str">
        <f t="shared" si="171"/>
        <v>(3) Other Supplies</v>
      </c>
      <c r="L1069" s="668">
        <v>126</v>
      </c>
      <c r="M1069" s="669">
        <v>117</v>
      </c>
      <c r="N1069" s="668"/>
      <c r="O1069" s="668">
        <v>13</v>
      </c>
      <c r="P1069" s="668" t="str">
        <f>IFERROR(VLOOKUP(F1069, [2]MOE!B:C, 2, FALSE), "No")</f>
        <v>No</v>
      </c>
      <c r="Q1069" s="711"/>
      <c r="S1069" s="670" t="s">
        <v>1892</v>
      </c>
      <c r="T1069" s="668" t="s">
        <v>1050</v>
      </c>
    </row>
    <row r="1070" spans="1:20">
      <c r="A1070" s="671"/>
      <c r="B1070" s="677"/>
      <c r="C1070" s="672"/>
      <c r="D1070" s="672" t="s">
        <v>853</v>
      </c>
      <c r="E1070" s="676" t="s">
        <v>1052</v>
      </c>
      <c r="F1070" s="675"/>
      <c r="G1070" s="672"/>
      <c r="H1070" s="676"/>
      <c r="Q1070" s="711"/>
      <c r="S1070" s="670"/>
    </row>
    <row r="1071" spans="1:20">
      <c r="A1071" s="679">
        <v>7342120</v>
      </c>
      <c r="B1071" s="677"/>
      <c r="C1071" s="672"/>
      <c r="D1071" s="672"/>
      <c r="E1071" s="676" t="s">
        <v>1147</v>
      </c>
      <c r="F1071" s="680" t="s">
        <v>1910</v>
      </c>
      <c r="G1071" s="710">
        <v>734</v>
      </c>
      <c r="H1071" s="682">
        <v>2120</v>
      </c>
      <c r="J1071" s="668" t="str">
        <f t="shared" ref="J1071:J1074" si="172">E1071</f>
        <v>(1) Technology-Related Hardware</v>
      </c>
      <c r="L1071" s="668">
        <v>131</v>
      </c>
      <c r="M1071" s="669">
        <v>122</v>
      </c>
      <c r="N1071" s="668"/>
      <c r="O1071" s="668">
        <v>13</v>
      </c>
      <c r="P1071" s="668" t="str">
        <f>IFERROR(VLOOKUP(F1071, [2]MOE!B:C, 2, FALSE), "No")</f>
        <v>No</v>
      </c>
      <c r="Q1071" s="711"/>
      <c r="S1071" s="670" t="s">
        <v>1892</v>
      </c>
      <c r="T1071" s="668" t="s">
        <v>1053</v>
      </c>
    </row>
    <row r="1072" spans="1:20">
      <c r="A1072" s="679">
        <v>7352120</v>
      </c>
      <c r="B1072" s="677"/>
      <c r="C1072" s="672"/>
      <c r="D1072" s="672"/>
      <c r="E1072" s="676" t="s">
        <v>1149</v>
      </c>
      <c r="F1072" s="680" t="s">
        <v>1911</v>
      </c>
      <c r="G1072" s="710">
        <v>735</v>
      </c>
      <c r="H1072" s="682">
        <v>2120</v>
      </c>
      <c r="J1072" s="668" t="str">
        <f t="shared" si="172"/>
        <v>(2) Technology Software</v>
      </c>
      <c r="L1072" s="668">
        <v>131</v>
      </c>
      <c r="M1072" s="669">
        <v>122</v>
      </c>
      <c r="N1072" s="668"/>
      <c r="O1072" s="668">
        <v>13</v>
      </c>
      <c r="P1072" s="668" t="str">
        <f>IFERROR(VLOOKUP(F1072, [2]MOE!B:C, 2, FALSE), "No")</f>
        <v>No</v>
      </c>
      <c r="Q1072" s="711"/>
      <c r="S1072" s="670" t="s">
        <v>1892</v>
      </c>
      <c r="T1072" s="668" t="s">
        <v>1055</v>
      </c>
    </row>
    <row r="1073" spans="1:20">
      <c r="A1073" s="679">
        <v>7302120</v>
      </c>
      <c r="B1073" s="677"/>
      <c r="C1073" s="672"/>
      <c r="D1073" s="672"/>
      <c r="E1073" s="676" t="s">
        <v>1151</v>
      </c>
      <c r="F1073" s="680" t="s">
        <v>1912</v>
      </c>
      <c r="G1073" s="710">
        <v>730</v>
      </c>
      <c r="H1073" s="682">
        <v>2120</v>
      </c>
      <c r="J1073" s="668" t="str">
        <f t="shared" si="172"/>
        <v>(3) All Other Equipment</v>
      </c>
      <c r="L1073" s="668">
        <v>131</v>
      </c>
      <c r="M1073" s="669">
        <v>122</v>
      </c>
      <c r="N1073" s="668"/>
      <c r="O1073" s="668">
        <v>13</v>
      </c>
      <c r="P1073" s="668" t="str">
        <f>IFERROR(VLOOKUP(F1073, [2]MOE!B:C, 2, FALSE), "No")</f>
        <v>No</v>
      </c>
      <c r="Q1073" s="711"/>
      <c r="S1073" s="670" t="s">
        <v>1892</v>
      </c>
      <c r="T1073" s="668" t="s">
        <v>1057</v>
      </c>
    </row>
    <row r="1074" spans="1:20">
      <c r="A1074" s="679">
        <v>7002120</v>
      </c>
      <c r="B1074" s="677"/>
      <c r="C1074" s="672"/>
      <c r="D1074" s="672"/>
      <c r="E1074" s="676" t="s">
        <v>1153</v>
      </c>
      <c r="F1074" s="680" t="s">
        <v>1913</v>
      </c>
      <c r="G1074" s="710">
        <v>700</v>
      </c>
      <c r="H1074" s="682">
        <v>2120</v>
      </c>
      <c r="J1074" s="668" t="str">
        <f t="shared" si="172"/>
        <v>(4) Other Property</v>
      </c>
      <c r="L1074" s="668">
        <v>132</v>
      </c>
      <c r="M1074" s="669">
        <v>123</v>
      </c>
      <c r="N1074" s="668"/>
      <c r="O1074" s="668">
        <v>13</v>
      </c>
      <c r="P1074" s="668" t="str">
        <f>IFERROR(VLOOKUP(F1074, [2]MOE!B:C, 2, FALSE), "No")</f>
        <v>No</v>
      </c>
      <c r="Q1074" s="711"/>
      <c r="S1074" s="670" t="s">
        <v>1892</v>
      </c>
      <c r="T1074" s="668" t="s">
        <v>1059</v>
      </c>
    </row>
    <row r="1075" spans="1:20">
      <c r="A1075" s="671"/>
      <c r="B1075" s="677"/>
      <c r="C1075" s="672"/>
      <c r="D1075" s="672" t="s">
        <v>856</v>
      </c>
      <c r="E1075" s="676" t="s">
        <v>256</v>
      </c>
      <c r="F1075" s="675"/>
      <c r="G1075" s="672"/>
      <c r="H1075" s="676"/>
      <c r="Q1075" s="711"/>
      <c r="S1075" s="670"/>
    </row>
    <row r="1076" spans="1:20">
      <c r="A1076" s="679">
        <v>8952120</v>
      </c>
      <c r="B1076" s="677"/>
      <c r="C1076" s="672"/>
      <c r="D1076" s="672"/>
      <c r="E1076" s="676" t="s">
        <v>1155</v>
      </c>
      <c r="F1076" s="680" t="s">
        <v>1914</v>
      </c>
      <c r="G1076" s="710">
        <v>895</v>
      </c>
      <c r="H1076" s="682">
        <v>2120</v>
      </c>
      <c r="J1076" s="668" t="str">
        <f t="shared" ref="J1076:J1077" si="173">E1076</f>
        <v>(1) Miscellaneous Non-Public Expenditures</v>
      </c>
      <c r="L1076" s="668">
        <v>139</v>
      </c>
      <c r="M1076" s="669">
        <v>129</v>
      </c>
      <c r="N1076" s="668"/>
      <c r="O1076" s="668">
        <v>13</v>
      </c>
      <c r="P1076" s="668" t="str">
        <f>IFERROR(VLOOKUP(F1076, [2]MOE!B:C, 2, FALSE), "No")</f>
        <v>No</v>
      </c>
      <c r="Q1076" s="711"/>
      <c r="S1076" s="670" t="s">
        <v>1892</v>
      </c>
      <c r="T1076" s="668" t="s">
        <v>1061</v>
      </c>
    </row>
    <row r="1077" spans="1:20">
      <c r="A1077" s="679">
        <v>8002120</v>
      </c>
      <c r="B1077" s="677"/>
      <c r="C1077" s="672"/>
      <c r="D1077" s="672"/>
      <c r="E1077" s="676" t="s">
        <v>1157</v>
      </c>
      <c r="F1077" s="680" t="s">
        <v>1915</v>
      </c>
      <c r="G1077" s="710">
        <v>800</v>
      </c>
      <c r="H1077" s="682">
        <v>2120</v>
      </c>
      <c r="J1077" s="668" t="str">
        <f t="shared" si="173"/>
        <v>(2) Other Miscellaneous Expenditures</v>
      </c>
      <c r="L1077" s="668">
        <v>139</v>
      </c>
      <c r="M1077" s="669">
        <v>129</v>
      </c>
      <c r="N1077" s="668"/>
      <c r="O1077" s="668">
        <v>13</v>
      </c>
      <c r="P1077" s="668" t="str">
        <f>IFERROR(VLOOKUP(F1077, [2]MOE!B:C, 2, FALSE), "No")</f>
        <v>No</v>
      </c>
      <c r="Q1077" s="711"/>
      <c r="S1077" s="670" t="s">
        <v>1892</v>
      </c>
      <c r="T1077" s="668" t="s">
        <v>1063</v>
      </c>
    </row>
    <row r="1078" spans="1:20">
      <c r="A1078" s="671"/>
      <c r="B1078" s="677"/>
      <c r="C1078" s="672"/>
      <c r="D1078" s="672" t="s">
        <v>859</v>
      </c>
      <c r="E1078" s="676" t="s">
        <v>1065</v>
      </c>
      <c r="F1078" s="675"/>
      <c r="G1078" s="672"/>
      <c r="H1078" s="676"/>
      <c r="Q1078" s="711"/>
      <c r="S1078" s="670"/>
    </row>
    <row r="1079" spans="1:20">
      <c r="A1079" s="679">
        <v>2102120</v>
      </c>
      <c r="B1079" s="677"/>
      <c r="C1079" s="672"/>
      <c r="D1079" s="672"/>
      <c r="E1079" s="676" t="s">
        <v>1159</v>
      </c>
      <c r="F1079" s="680" t="s">
        <v>1916</v>
      </c>
      <c r="G1079" s="710">
        <v>210</v>
      </c>
      <c r="H1079" s="682">
        <v>2120</v>
      </c>
      <c r="J1079" s="668" t="str">
        <f t="shared" ref="J1079:J1081" si="174">E1079</f>
        <v>(1) Group Insurance</v>
      </c>
      <c r="L1079" s="668">
        <v>89</v>
      </c>
      <c r="M1079" s="669">
        <v>84</v>
      </c>
      <c r="N1079" s="668"/>
      <c r="O1079" s="668">
        <v>13</v>
      </c>
      <c r="P1079" s="668" t="str">
        <f>IFERROR(VLOOKUP(F1079, [2]MOE!B:C, 2, FALSE), "No")</f>
        <v>No</v>
      </c>
      <c r="Q1079" s="711" t="s">
        <v>1004</v>
      </c>
      <c r="S1079" s="670" t="s">
        <v>1892</v>
      </c>
      <c r="T1079" s="668" t="s">
        <v>1066</v>
      </c>
    </row>
    <row r="1080" spans="1:20">
      <c r="A1080" s="679">
        <v>2202120</v>
      </c>
      <c r="B1080" s="677"/>
      <c r="C1080" s="672"/>
      <c r="D1080" s="672"/>
      <c r="E1080" s="676" t="s">
        <v>1161</v>
      </c>
      <c r="F1080" s="680" t="s">
        <v>1917</v>
      </c>
      <c r="G1080" s="710">
        <v>220</v>
      </c>
      <c r="H1080" s="682">
        <v>2120</v>
      </c>
      <c r="J1080" s="668" t="str">
        <f t="shared" si="174"/>
        <v>(2) FICA</v>
      </c>
      <c r="L1080" s="668">
        <v>90</v>
      </c>
      <c r="M1080" s="669">
        <v>85</v>
      </c>
      <c r="N1080" s="668"/>
      <c r="O1080" s="668">
        <v>13</v>
      </c>
      <c r="P1080" s="668" t="str">
        <f>IFERROR(VLOOKUP(F1080, [2]MOE!B:C, 2, FALSE), "No")</f>
        <v>No</v>
      </c>
      <c r="Q1080" s="711" t="s">
        <v>1004</v>
      </c>
      <c r="S1080" s="670" t="s">
        <v>1892</v>
      </c>
      <c r="T1080" s="668" t="s">
        <v>1068</v>
      </c>
    </row>
    <row r="1081" spans="1:20">
      <c r="A1081" s="679">
        <v>2252120</v>
      </c>
      <c r="B1081" s="677"/>
      <c r="C1081" s="672"/>
      <c r="D1081" s="672"/>
      <c r="E1081" s="676" t="s">
        <v>1163</v>
      </c>
      <c r="F1081" s="680" t="s">
        <v>1918</v>
      </c>
      <c r="G1081" s="710">
        <v>225</v>
      </c>
      <c r="H1081" s="682">
        <v>2120</v>
      </c>
      <c r="J1081" s="668" t="str">
        <f t="shared" si="174"/>
        <v>(3) Medicare</v>
      </c>
      <c r="L1081" s="668">
        <v>91</v>
      </c>
      <c r="M1081" s="669">
        <v>86</v>
      </c>
      <c r="N1081" s="668"/>
      <c r="O1081" s="668">
        <v>13</v>
      </c>
      <c r="P1081" s="668" t="str">
        <f>IFERROR(VLOOKUP(F1081, [2]MOE!B:C, 2, FALSE), "No")</f>
        <v>No</v>
      </c>
      <c r="Q1081" s="711" t="s">
        <v>1004</v>
      </c>
      <c r="S1081" s="670" t="s">
        <v>1892</v>
      </c>
      <c r="T1081" s="668" t="s">
        <v>23</v>
      </c>
    </row>
    <row r="1082" spans="1:20">
      <c r="A1082" s="671"/>
      <c r="B1082" s="677"/>
      <c r="C1082" s="672"/>
      <c r="D1082" s="672"/>
      <c r="E1082" s="676" t="s">
        <v>1165</v>
      </c>
      <c r="F1082" s="675"/>
      <c r="G1082" s="672"/>
      <c r="H1082" s="676"/>
      <c r="Q1082" s="711"/>
      <c r="S1082" s="670"/>
    </row>
    <row r="1083" spans="1:20">
      <c r="A1083" s="679">
        <v>2312120</v>
      </c>
      <c r="B1083" s="677"/>
      <c r="C1083" s="672"/>
      <c r="D1083" s="672"/>
      <c r="E1083" s="676" t="s">
        <v>1166</v>
      </c>
      <c r="F1083" s="680" t="s">
        <v>1919</v>
      </c>
      <c r="G1083" s="710">
        <v>231</v>
      </c>
      <c r="H1083" s="682">
        <v>2120</v>
      </c>
      <c r="J1083" s="668" t="str">
        <f t="shared" ref="J1083:J1091" si="175">E1083</f>
        <v>(a) Louisiana Teachers Retirement</v>
      </c>
      <c r="L1083" s="668">
        <v>92</v>
      </c>
      <c r="M1083" s="669">
        <v>87</v>
      </c>
      <c r="N1083" s="668"/>
      <c r="O1083" s="668">
        <v>13</v>
      </c>
      <c r="P1083" s="668" t="str">
        <f>IFERROR(VLOOKUP(F1083, [2]MOE!B:C, 2, FALSE), "No")</f>
        <v>No</v>
      </c>
      <c r="Q1083" s="711" t="s">
        <v>1004</v>
      </c>
      <c r="S1083" s="670" t="s">
        <v>1892</v>
      </c>
      <c r="T1083" s="668" t="s">
        <v>1074</v>
      </c>
    </row>
    <row r="1084" spans="1:20">
      <c r="A1084" s="679">
        <v>2332120</v>
      </c>
      <c r="B1084" s="677"/>
      <c r="C1084" s="672"/>
      <c r="D1084" s="672"/>
      <c r="E1084" s="676" t="s">
        <v>1168</v>
      </c>
      <c r="F1084" s="680" t="s">
        <v>1920</v>
      </c>
      <c r="G1084" s="710">
        <v>233</v>
      </c>
      <c r="H1084" s="682">
        <v>2120</v>
      </c>
      <c r="J1084" s="668" t="str">
        <f t="shared" si="175"/>
        <v>(b) Louisiana School Emp. Retirement</v>
      </c>
      <c r="L1084" s="668">
        <v>92</v>
      </c>
      <c r="M1084" s="669">
        <v>87</v>
      </c>
      <c r="N1084" s="668"/>
      <c r="O1084" s="668">
        <v>13</v>
      </c>
      <c r="P1084" s="668" t="str">
        <f>IFERROR(VLOOKUP(F1084, [2]MOE!B:C, 2, FALSE), "No")</f>
        <v>No</v>
      </c>
      <c r="Q1084" s="711" t="s">
        <v>1004</v>
      </c>
      <c r="S1084" s="670" t="s">
        <v>1892</v>
      </c>
      <c r="T1084" s="668" t="s">
        <v>1170</v>
      </c>
    </row>
    <row r="1085" spans="1:20">
      <c r="A1085" s="679">
        <v>2392120</v>
      </c>
      <c r="B1085" s="677"/>
      <c r="C1085" s="672"/>
      <c r="D1085" s="672"/>
      <c r="E1085" s="676" t="s">
        <v>1171</v>
      </c>
      <c r="F1085" s="680" t="s">
        <v>1921</v>
      </c>
      <c r="G1085" s="710">
        <v>239</v>
      </c>
      <c r="H1085" s="682">
        <v>2120</v>
      </c>
      <c r="J1085" s="668" t="str">
        <f t="shared" si="175"/>
        <v>(c) Other Retirement</v>
      </c>
      <c r="L1085" s="668">
        <v>92</v>
      </c>
      <c r="M1085" s="669">
        <v>87</v>
      </c>
      <c r="N1085" s="668"/>
      <c r="O1085" s="668">
        <v>13</v>
      </c>
      <c r="P1085" s="668" t="str">
        <f>IFERROR(VLOOKUP(F1085, [2]MOE!B:C, 2, FALSE), "No")</f>
        <v>No</v>
      </c>
      <c r="Q1085" s="711" t="s">
        <v>1004</v>
      </c>
      <c r="S1085" s="670" t="s">
        <v>1892</v>
      </c>
      <c r="T1085" s="668" t="s">
        <v>1080</v>
      </c>
    </row>
    <row r="1086" spans="1:20">
      <c r="A1086" s="679">
        <v>2502120</v>
      </c>
      <c r="B1086" s="677"/>
      <c r="C1086" s="672"/>
      <c r="D1086" s="672"/>
      <c r="E1086" s="676" t="s">
        <v>1173</v>
      </c>
      <c r="F1086" s="680" t="s">
        <v>1922</v>
      </c>
      <c r="G1086" s="710">
        <v>250</v>
      </c>
      <c r="H1086" s="682">
        <v>2120</v>
      </c>
      <c r="J1086" s="668" t="str">
        <f t="shared" si="175"/>
        <v>(5) Unemployment Compensation</v>
      </c>
      <c r="L1086" s="668">
        <v>93</v>
      </c>
      <c r="M1086" s="669">
        <v>88</v>
      </c>
      <c r="N1086" s="668"/>
      <c r="O1086" s="668">
        <v>13</v>
      </c>
      <c r="P1086" s="668" t="str">
        <f>IFERROR(VLOOKUP(F1086, [2]MOE!B:C, 2, FALSE), "No")</f>
        <v>No</v>
      </c>
      <c r="Q1086" s="711" t="s">
        <v>1004</v>
      </c>
      <c r="S1086" s="670" t="s">
        <v>1892</v>
      </c>
      <c r="T1086" s="668" t="s">
        <v>1081</v>
      </c>
    </row>
    <row r="1087" spans="1:20">
      <c r="A1087" s="679">
        <v>2602120</v>
      </c>
      <c r="B1087" s="677"/>
      <c r="C1087" s="672"/>
      <c r="D1087" s="672"/>
      <c r="E1087" s="676" t="s">
        <v>1175</v>
      </c>
      <c r="F1087" s="680" t="s">
        <v>1923</v>
      </c>
      <c r="G1087" s="710">
        <v>260</v>
      </c>
      <c r="H1087" s="682">
        <v>2120</v>
      </c>
      <c r="J1087" s="668" t="str">
        <f t="shared" si="175"/>
        <v>(6) Workmen's Compensation</v>
      </c>
      <c r="L1087" s="668">
        <v>95</v>
      </c>
      <c r="M1087" s="669">
        <v>90</v>
      </c>
      <c r="N1087" s="668"/>
      <c r="O1087" s="668">
        <v>13</v>
      </c>
      <c r="P1087" s="668" t="str">
        <f>IFERROR(VLOOKUP(F1087, [2]MOE!B:C, 2, FALSE), "No")</f>
        <v>No</v>
      </c>
      <c r="Q1087" s="711" t="s">
        <v>1004</v>
      </c>
      <c r="S1087" s="670" t="s">
        <v>1892</v>
      </c>
      <c r="T1087" s="668" t="s">
        <v>1083</v>
      </c>
    </row>
    <row r="1088" spans="1:20">
      <c r="A1088" s="679">
        <v>2702120</v>
      </c>
      <c r="B1088" s="677"/>
      <c r="C1088" s="672"/>
      <c r="D1088" s="672"/>
      <c r="E1088" s="676" t="s">
        <v>1177</v>
      </c>
      <c r="F1088" s="680" t="s">
        <v>1924</v>
      </c>
      <c r="G1088" s="710">
        <v>270</v>
      </c>
      <c r="H1088" s="682">
        <v>2120</v>
      </c>
      <c r="J1088" s="668" t="str">
        <f t="shared" si="175"/>
        <v>(7) Health Benefits (retirees)</v>
      </c>
      <c r="L1088" s="668">
        <v>94</v>
      </c>
      <c r="M1088" s="669">
        <v>89</v>
      </c>
      <c r="N1088" s="668"/>
      <c r="O1088" s="668">
        <v>13</v>
      </c>
      <c r="P1088" s="668" t="str">
        <f>IFERROR(VLOOKUP(F1088, [2]MOE!B:C, 2, FALSE), "No")</f>
        <v>No</v>
      </c>
      <c r="Q1088" s="711" t="s">
        <v>1004</v>
      </c>
      <c r="S1088" s="670" t="s">
        <v>1892</v>
      </c>
      <c r="T1088" s="668" t="s">
        <v>1085</v>
      </c>
    </row>
    <row r="1089" spans="1:20">
      <c r="A1089" s="679">
        <v>2812120</v>
      </c>
      <c r="B1089" s="677"/>
      <c r="C1089" s="672"/>
      <c r="D1089" s="672"/>
      <c r="E1089" s="676" t="s">
        <v>1179</v>
      </c>
      <c r="F1089" s="680" t="s">
        <v>1925</v>
      </c>
      <c r="G1089" s="710">
        <v>281</v>
      </c>
      <c r="H1089" s="682">
        <v>2120</v>
      </c>
      <c r="J1089" s="668" t="str">
        <f t="shared" si="175"/>
        <v>(8) Sick Leave Severance Pay</v>
      </c>
      <c r="L1089" s="668">
        <v>95</v>
      </c>
      <c r="M1089" s="669">
        <v>90</v>
      </c>
      <c r="N1089" s="668"/>
      <c r="O1089" s="668">
        <v>13</v>
      </c>
      <c r="P1089" s="668" t="str">
        <f>IFERROR(VLOOKUP(F1089, [2]MOE!B:C, 2, FALSE), "No")</f>
        <v>No</v>
      </c>
      <c r="Q1089" s="711" t="s">
        <v>1004</v>
      </c>
      <c r="S1089" s="670" t="s">
        <v>1892</v>
      </c>
      <c r="T1089" s="668" t="s">
        <v>1087</v>
      </c>
    </row>
    <row r="1090" spans="1:20">
      <c r="A1090" s="679">
        <v>2822120</v>
      </c>
      <c r="B1090" s="677"/>
      <c r="C1090" s="672"/>
      <c r="D1090" s="672"/>
      <c r="E1090" s="676" t="s">
        <v>1181</v>
      </c>
      <c r="F1090" s="680" t="s">
        <v>1926</v>
      </c>
      <c r="G1090" s="710">
        <v>282</v>
      </c>
      <c r="H1090" s="682">
        <v>2120</v>
      </c>
      <c r="J1090" s="668" t="str">
        <f t="shared" si="175"/>
        <v>(9) Annual Leave Severance Pay</v>
      </c>
      <c r="L1090" s="668">
        <v>95</v>
      </c>
      <c r="M1090" s="669">
        <v>90</v>
      </c>
      <c r="N1090" s="668"/>
      <c r="O1090" s="668">
        <v>13</v>
      </c>
      <c r="P1090" s="668" t="str">
        <f>IFERROR(VLOOKUP(F1090, [2]MOE!B:C, 2, FALSE), "No")</f>
        <v>No</v>
      </c>
      <c r="Q1090" s="711" t="s">
        <v>1004</v>
      </c>
      <c r="S1090" s="670" t="s">
        <v>1892</v>
      </c>
      <c r="T1090" s="668" t="s">
        <v>1089</v>
      </c>
    </row>
    <row r="1091" spans="1:20">
      <c r="A1091" s="679">
        <v>2902120</v>
      </c>
      <c r="B1091" s="677"/>
      <c r="C1091" s="672"/>
      <c r="D1091" s="672"/>
      <c r="E1091" s="676" t="s">
        <v>1183</v>
      </c>
      <c r="F1091" s="680" t="s">
        <v>1927</v>
      </c>
      <c r="G1091" s="710">
        <v>290</v>
      </c>
      <c r="H1091" s="682">
        <v>2120</v>
      </c>
      <c r="J1091" s="668" t="str">
        <f t="shared" si="175"/>
        <v>(10) Other Employee Benefits</v>
      </c>
      <c r="L1091" s="668">
        <v>95</v>
      </c>
      <c r="M1091" s="669">
        <v>90</v>
      </c>
      <c r="N1091" s="668"/>
      <c r="O1091" s="668">
        <v>13</v>
      </c>
      <c r="P1091" s="668" t="str">
        <f>IFERROR(VLOOKUP(F1091, [2]MOE!B:C, 2, FALSE), "No")</f>
        <v>No</v>
      </c>
      <c r="Q1091" s="711" t="s">
        <v>1004</v>
      </c>
      <c r="S1091" s="670" t="s">
        <v>1892</v>
      </c>
      <c r="T1091" s="668" t="s">
        <v>1092</v>
      </c>
    </row>
    <row r="1092" spans="1:20">
      <c r="A1092" s="671"/>
      <c r="B1092" s="677"/>
      <c r="C1092" s="678">
        <v>49</v>
      </c>
      <c r="D1092" s="925" t="s">
        <v>1928</v>
      </c>
      <c r="E1092" s="926"/>
      <c r="F1092" s="675"/>
      <c r="G1092" s="672"/>
      <c r="H1092" s="676"/>
      <c r="Q1092" s="711"/>
      <c r="S1092" s="670"/>
    </row>
    <row r="1093" spans="1:20">
      <c r="A1093" s="671"/>
      <c r="B1093" s="677"/>
      <c r="C1093" s="672"/>
      <c r="D1093" s="672" t="s">
        <v>759</v>
      </c>
      <c r="E1093" s="676" t="s">
        <v>244</v>
      </c>
      <c r="F1093" s="675"/>
      <c r="G1093" s="672"/>
      <c r="H1093" s="676"/>
      <c r="Q1093" s="711"/>
      <c r="S1093" s="670"/>
    </row>
    <row r="1094" spans="1:20">
      <c r="A1094" s="679">
        <v>1112131</v>
      </c>
      <c r="B1094" s="677"/>
      <c r="C1094" s="672"/>
      <c r="D1094" s="672"/>
      <c r="E1094" s="676" t="s">
        <v>1845</v>
      </c>
      <c r="F1094" s="680" t="s">
        <v>1929</v>
      </c>
      <c r="G1094" s="710">
        <v>111</v>
      </c>
      <c r="H1094" s="682">
        <v>2131</v>
      </c>
      <c r="J1094" s="668" t="str">
        <f t="shared" ref="J1094:J1096" si="176">E1094</f>
        <v>(1) Supervisors</v>
      </c>
      <c r="L1094" s="668">
        <v>81</v>
      </c>
      <c r="M1094" s="669">
        <v>76</v>
      </c>
      <c r="N1094" s="668"/>
      <c r="O1094" s="668">
        <v>13</v>
      </c>
      <c r="P1094" s="668" t="str">
        <f>IFERROR(VLOOKUP(F1094, [2]MOE!B:C, 2, FALSE), "No")</f>
        <v>No</v>
      </c>
      <c r="Q1094" s="711" t="s">
        <v>1546</v>
      </c>
      <c r="S1094" s="670" t="s">
        <v>1930</v>
      </c>
      <c r="T1094" s="668" t="s">
        <v>1848</v>
      </c>
    </row>
    <row r="1095" spans="1:20">
      <c r="A1095" s="679">
        <v>1182132</v>
      </c>
      <c r="B1095" s="677"/>
      <c r="C1095" s="672"/>
      <c r="D1095" s="672"/>
      <c r="E1095" s="676" t="s">
        <v>1931</v>
      </c>
      <c r="F1095" s="680" t="s">
        <v>1932</v>
      </c>
      <c r="G1095" s="710">
        <v>118</v>
      </c>
      <c r="H1095" s="682">
        <v>2132</v>
      </c>
      <c r="J1095" s="668" t="str">
        <f t="shared" si="176"/>
        <v>(2) Staff Physicians</v>
      </c>
      <c r="L1095" s="668">
        <v>86</v>
      </c>
      <c r="M1095" s="669">
        <v>81</v>
      </c>
      <c r="N1095" s="668"/>
      <c r="O1095" s="668">
        <v>13</v>
      </c>
      <c r="P1095" s="668" t="str">
        <f>IFERROR(VLOOKUP(F1095, [2]MOE!B:C, 2, FALSE), "No")</f>
        <v>No</v>
      </c>
      <c r="Q1095" s="711" t="s">
        <v>1546</v>
      </c>
      <c r="S1095" s="670" t="s">
        <v>1930</v>
      </c>
      <c r="T1095" s="668" t="s">
        <v>1933</v>
      </c>
    </row>
    <row r="1096" spans="1:20">
      <c r="A1096" s="679">
        <v>1182134</v>
      </c>
      <c r="B1096" s="677"/>
      <c r="C1096" s="672"/>
      <c r="D1096" s="672"/>
      <c r="E1096" s="676" t="s">
        <v>1934</v>
      </c>
      <c r="F1096" s="680" t="s">
        <v>1935</v>
      </c>
      <c r="G1096" s="710">
        <v>118</v>
      </c>
      <c r="H1096" s="682">
        <v>2134</v>
      </c>
      <c r="J1096" s="668" t="str">
        <f t="shared" si="176"/>
        <v>(3) School Nurses (RN)</v>
      </c>
      <c r="L1096" s="668">
        <v>86</v>
      </c>
      <c r="M1096" s="669">
        <v>81</v>
      </c>
      <c r="N1096" s="668"/>
      <c r="O1096" s="668">
        <v>13</v>
      </c>
      <c r="P1096" s="668" t="str">
        <f>IFERROR(VLOOKUP(F1096, [2]MOE!B:C, 2, FALSE), "No")</f>
        <v>No</v>
      </c>
      <c r="Q1096" s="711" t="s">
        <v>1546</v>
      </c>
      <c r="S1096" s="670" t="s">
        <v>1930</v>
      </c>
      <c r="T1096" s="668" t="s">
        <v>1936</v>
      </c>
    </row>
    <row r="1097" spans="1:20">
      <c r="A1097" s="671"/>
      <c r="B1097" s="677"/>
      <c r="C1097" s="672"/>
      <c r="D1097" s="672"/>
      <c r="E1097" s="676" t="s">
        <v>1937</v>
      </c>
      <c r="F1097" s="675"/>
      <c r="G1097" s="672"/>
      <c r="H1097" s="676"/>
      <c r="Q1097" s="711"/>
      <c r="S1097" s="670"/>
    </row>
    <row r="1098" spans="1:20">
      <c r="A1098" s="679">
        <v>1132130</v>
      </c>
      <c r="B1098" s="677"/>
      <c r="C1098" s="672"/>
      <c r="D1098" s="672"/>
      <c r="E1098" s="676" t="s">
        <v>1938</v>
      </c>
      <c r="F1098" s="680" t="s">
        <v>1939</v>
      </c>
      <c r="G1098" s="710">
        <v>113</v>
      </c>
      <c r="H1098" s="682">
        <v>2130</v>
      </c>
      <c r="J1098" s="668" t="str">
        <f t="shared" ref="J1098:J1103" si="177">E1098</f>
        <v>and Psychologists - Health Services</v>
      </c>
      <c r="L1098" s="668">
        <v>83</v>
      </c>
      <c r="M1098" s="669">
        <v>78</v>
      </c>
      <c r="N1098" s="668"/>
      <c r="O1098" s="668">
        <v>13</v>
      </c>
      <c r="P1098" s="668" t="str">
        <f>IFERROR(VLOOKUP(F1098, [2]MOE!B:C, 2, FALSE), "No")</f>
        <v>No</v>
      </c>
      <c r="Q1098" s="711" t="s">
        <v>1546</v>
      </c>
      <c r="S1098" s="670" t="s">
        <v>1930</v>
      </c>
      <c r="T1098" s="668" t="s">
        <v>1938</v>
      </c>
    </row>
    <row r="1099" spans="1:20">
      <c r="A1099" s="679">
        <v>1142130</v>
      </c>
      <c r="B1099" s="677"/>
      <c r="C1099" s="672"/>
      <c r="D1099" s="672"/>
      <c r="E1099" s="676" t="s">
        <v>1940</v>
      </c>
      <c r="F1099" s="680" t="s">
        <v>1941</v>
      </c>
      <c r="G1099" s="710">
        <v>114</v>
      </c>
      <c r="H1099" s="682">
        <v>2130</v>
      </c>
      <c r="J1099" s="668" t="str">
        <f t="shared" si="177"/>
        <v>(5) Clerical/Secretarial</v>
      </c>
      <c r="L1099" s="668">
        <v>84</v>
      </c>
      <c r="M1099" s="669">
        <v>79</v>
      </c>
      <c r="N1099" s="668"/>
      <c r="O1099" s="668">
        <v>13</v>
      </c>
      <c r="P1099" s="668" t="str">
        <f>IFERROR(VLOOKUP(F1099, [2]MOE!B:C, 2, FALSE), "No")</f>
        <v>No</v>
      </c>
      <c r="Q1099" s="711" t="s">
        <v>1546</v>
      </c>
      <c r="S1099" s="670" t="s">
        <v>1930</v>
      </c>
      <c r="T1099" s="668" t="s">
        <v>1854</v>
      </c>
    </row>
    <row r="1100" spans="1:20">
      <c r="A1100" s="679">
        <v>1152130</v>
      </c>
      <c r="B1100" s="677"/>
      <c r="C1100" s="672"/>
      <c r="D1100" s="672"/>
      <c r="E1100" s="676" t="s">
        <v>1942</v>
      </c>
      <c r="F1100" s="680" t="s">
        <v>1943</v>
      </c>
      <c r="G1100" s="710">
        <v>115</v>
      </c>
      <c r="H1100" s="682">
        <v>2130</v>
      </c>
      <c r="J1100" s="668" t="str">
        <f t="shared" si="177"/>
        <v>(6) Aides - Health Services</v>
      </c>
      <c r="L1100" s="668">
        <v>86</v>
      </c>
      <c r="M1100" s="669">
        <v>81</v>
      </c>
      <c r="N1100" s="668"/>
      <c r="O1100" s="668">
        <v>13</v>
      </c>
      <c r="P1100" s="668" t="str">
        <f>IFERROR(VLOOKUP(F1100, [2]MOE!B:C, 2, FALSE), "No")</f>
        <v>No</v>
      </c>
      <c r="Q1100" s="711" t="s">
        <v>1546</v>
      </c>
      <c r="S1100" s="670" t="s">
        <v>1930</v>
      </c>
      <c r="T1100" s="668" t="s">
        <v>1944</v>
      </c>
    </row>
    <row r="1101" spans="1:20">
      <c r="A1101" s="679">
        <v>1002130</v>
      </c>
      <c r="B1101" s="677"/>
      <c r="C1101" s="672"/>
      <c r="D1101" s="672"/>
      <c r="E1101" s="676" t="s">
        <v>1945</v>
      </c>
      <c r="F1101" s="680" t="s">
        <v>1946</v>
      </c>
      <c r="G1101" s="710">
        <v>100</v>
      </c>
      <c r="H1101" s="682">
        <v>2130</v>
      </c>
      <c r="J1101" s="668" t="str">
        <f t="shared" si="177"/>
        <v>(7) Other Salaries</v>
      </c>
      <c r="L1101" s="668">
        <v>86</v>
      </c>
      <c r="M1101" s="669">
        <v>81</v>
      </c>
      <c r="N1101" s="668"/>
      <c r="O1101" s="668">
        <v>13</v>
      </c>
      <c r="P1101" s="668" t="str">
        <f>IFERROR(VLOOKUP(F1101, [2]MOE!B:C, 2, FALSE), "No")</f>
        <v>No</v>
      </c>
      <c r="Q1101" s="711" t="s">
        <v>1546</v>
      </c>
      <c r="S1101" s="670" t="s">
        <v>1930</v>
      </c>
      <c r="T1101" s="668" t="s">
        <v>1947</v>
      </c>
    </row>
    <row r="1102" spans="1:20">
      <c r="A1102" s="679">
        <v>1402130</v>
      </c>
      <c r="B1102" s="677"/>
      <c r="C1102" s="672"/>
      <c r="D1102" s="672"/>
      <c r="E1102" s="676" t="s">
        <v>1948</v>
      </c>
      <c r="F1102" s="680" t="s">
        <v>1949</v>
      </c>
      <c r="G1102" s="710">
        <v>140</v>
      </c>
      <c r="H1102" s="682">
        <v>2130</v>
      </c>
      <c r="J1102" s="668" t="str">
        <f t="shared" si="177"/>
        <v>(8) Sabbatical Leave</v>
      </c>
      <c r="L1102" s="668">
        <v>86</v>
      </c>
      <c r="M1102" s="669">
        <v>81</v>
      </c>
      <c r="N1102" s="668"/>
      <c r="O1102" s="668">
        <v>13</v>
      </c>
      <c r="P1102" s="668" t="str">
        <f>IFERROR(VLOOKUP(F1102, [2]MOE!B:C, 2, FALSE), "No")</f>
        <v>No</v>
      </c>
      <c r="Q1102" s="711" t="s">
        <v>1546</v>
      </c>
      <c r="S1102" s="670" t="s">
        <v>1930</v>
      </c>
      <c r="T1102" s="668" t="s">
        <v>1019</v>
      </c>
    </row>
    <row r="1103" spans="1:20">
      <c r="A1103" s="679">
        <v>3002130</v>
      </c>
      <c r="B1103" s="677"/>
      <c r="C1103" s="672"/>
      <c r="D1103" s="672" t="s">
        <v>777</v>
      </c>
      <c r="E1103" s="676" t="s">
        <v>1113</v>
      </c>
      <c r="F1103" s="680" t="s">
        <v>1950</v>
      </c>
      <c r="G1103" s="710">
        <v>300</v>
      </c>
      <c r="H1103" s="682">
        <v>2130</v>
      </c>
      <c r="J1103" s="668" t="str">
        <f t="shared" si="177"/>
        <v>Purchased Professional and Technical Svcs</v>
      </c>
      <c r="L1103" s="668">
        <v>101</v>
      </c>
      <c r="M1103" s="669">
        <v>96</v>
      </c>
      <c r="N1103" s="668"/>
      <c r="O1103" s="668">
        <v>13</v>
      </c>
      <c r="P1103" s="668" t="str">
        <f>IFERROR(VLOOKUP(F1103, [2]MOE!B:C, 2, FALSE), "No")</f>
        <v>No</v>
      </c>
      <c r="Q1103" s="711" t="s">
        <v>1546</v>
      </c>
      <c r="S1103" s="670" t="s">
        <v>1930</v>
      </c>
      <c r="T1103" s="668" t="s">
        <v>1113</v>
      </c>
    </row>
    <row r="1104" spans="1:20">
      <c r="A1104" s="671"/>
      <c r="B1104" s="677"/>
      <c r="C1104" s="672"/>
      <c r="D1104" s="672" t="s">
        <v>801</v>
      </c>
      <c r="E1104" s="676" t="s">
        <v>250</v>
      </c>
      <c r="F1104" s="675"/>
      <c r="G1104" s="672"/>
      <c r="H1104" s="676"/>
      <c r="Q1104" s="711"/>
      <c r="S1104" s="670"/>
    </row>
    <row r="1105" spans="1:20">
      <c r="A1105" s="679">
        <v>4302130</v>
      </c>
      <c r="B1105" s="677"/>
      <c r="C1105" s="672"/>
      <c r="D1105" s="672"/>
      <c r="E1105" s="676" t="s">
        <v>1115</v>
      </c>
      <c r="F1105" s="680" t="s">
        <v>1951</v>
      </c>
      <c r="G1105" s="710">
        <v>430</v>
      </c>
      <c r="H1105" s="682">
        <v>2130</v>
      </c>
      <c r="J1105" s="668" t="str">
        <f t="shared" ref="J1105:J1107" si="178">E1105</f>
        <v>(1) Repairs and Maintenance Services</v>
      </c>
      <c r="L1105" s="668">
        <v>107</v>
      </c>
      <c r="M1105" s="669">
        <v>102</v>
      </c>
      <c r="N1105" s="668"/>
      <c r="O1105" s="668">
        <v>13</v>
      </c>
      <c r="P1105" s="668" t="str">
        <f>IFERROR(VLOOKUP(F1105, [2]MOE!B:C, 2, FALSE), "No")</f>
        <v>No</v>
      </c>
      <c r="Q1105" s="711" t="s">
        <v>1546</v>
      </c>
      <c r="S1105" s="670" t="s">
        <v>1930</v>
      </c>
      <c r="T1105" s="668" t="s">
        <v>1023</v>
      </c>
    </row>
    <row r="1106" spans="1:20">
      <c r="A1106" s="679">
        <v>4422130</v>
      </c>
      <c r="B1106" s="677"/>
      <c r="C1106" s="672"/>
      <c r="D1106" s="672"/>
      <c r="E1106" s="676" t="s">
        <v>1117</v>
      </c>
      <c r="F1106" s="680" t="s">
        <v>1952</v>
      </c>
      <c r="G1106" s="710">
        <v>442</v>
      </c>
      <c r="H1106" s="682">
        <v>2130</v>
      </c>
      <c r="J1106" s="668" t="str">
        <f t="shared" si="178"/>
        <v>(2) Rental of Equipment</v>
      </c>
      <c r="L1106" s="668">
        <v>106</v>
      </c>
      <c r="M1106" s="669">
        <v>101</v>
      </c>
      <c r="N1106" s="668"/>
      <c r="O1106" s="668">
        <v>13</v>
      </c>
      <c r="P1106" s="668" t="str">
        <f>IFERROR(VLOOKUP(F1106, [2]MOE!B:C, 2, FALSE), "No")</f>
        <v>No</v>
      </c>
      <c r="Q1106" s="711" t="s">
        <v>1546</v>
      </c>
      <c r="S1106" s="670" t="s">
        <v>1930</v>
      </c>
      <c r="T1106" s="668" t="s">
        <v>1025</v>
      </c>
    </row>
    <row r="1107" spans="1:20">
      <c r="A1107" s="679">
        <v>4002130</v>
      </c>
      <c r="B1107" s="677"/>
      <c r="C1107" s="672"/>
      <c r="D1107" s="672"/>
      <c r="E1107" s="676" t="s">
        <v>1119</v>
      </c>
      <c r="F1107" s="680" t="s">
        <v>1953</v>
      </c>
      <c r="G1107" s="710">
        <v>400</v>
      </c>
      <c r="H1107" s="682">
        <v>2130</v>
      </c>
      <c r="J1107" s="668" t="str">
        <f t="shared" si="178"/>
        <v>(3) Other Purchased Property Services</v>
      </c>
      <c r="L1107" s="668">
        <v>108</v>
      </c>
      <c r="M1107" s="669">
        <v>103</v>
      </c>
      <c r="N1107" s="668"/>
      <c r="O1107" s="668">
        <v>13</v>
      </c>
      <c r="P1107" s="668" t="str">
        <f>IFERROR(VLOOKUP(F1107, [2]MOE!B:C, 2, FALSE), "No")</f>
        <v>No</v>
      </c>
      <c r="Q1107" s="711" t="s">
        <v>1546</v>
      </c>
      <c r="S1107" s="670" t="s">
        <v>1930</v>
      </c>
      <c r="T1107" s="668" t="s">
        <v>1027</v>
      </c>
    </row>
    <row r="1108" spans="1:20">
      <c r="A1108" s="671"/>
      <c r="B1108" s="677"/>
      <c r="C1108" s="672"/>
      <c r="D1108" s="672" t="s">
        <v>805</v>
      </c>
      <c r="E1108" s="676" t="s">
        <v>252</v>
      </c>
      <c r="F1108" s="675"/>
      <c r="G1108" s="672"/>
      <c r="H1108" s="676"/>
      <c r="Q1108" s="711"/>
      <c r="S1108" s="670"/>
    </row>
    <row r="1109" spans="1:20">
      <c r="A1109" s="679">
        <v>5242130</v>
      </c>
      <c r="B1109" s="677"/>
      <c r="C1109" s="672"/>
      <c r="D1109" s="672"/>
      <c r="E1109" s="676" t="s">
        <v>1954</v>
      </c>
      <c r="F1109" s="680" t="s">
        <v>1955</v>
      </c>
      <c r="G1109" s="710">
        <v>524</v>
      </c>
      <c r="H1109" s="682">
        <v>2130</v>
      </c>
      <c r="J1109" s="668" t="str">
        <f t="shared" ref="J1109:J1111" si="179">E1109</f>
        <v>(1) Errors/Omissions Insur. (Malpractice)</v>
      </c>
      <c r="L1109" s="668">
        <v>115</v>
      </c>
      <c r="M1109" s="669">
        <v>107</v>
      </c>
      <c r="N1109" s="668"/>
      <c r="O1109" s="668">
        <v>13</v>
      </c>
      <c r="P1109" s="668" t="str">
        <f>IFERROR(VLOOKUP(F1109, [2]MOE!B:C, 2, FALSE), "No")</f>
        <v>No</v>
      </c>
      <c r="Q1109" s="711" t="s">
        <v>1546</v>
      </c>
      <c r="S1109" s="670" t="s">
        <v>1930</v>
      </c>
      <c r="T1109" s="668" t="s">
        <v>1956</v>
      </c>
    </row>
    <row r="1110" spans="1:20">
      <c r="A1110" s="679">
        <v>5822130</v>
      </c>
      <c r="B1110" s="677"/>
      <c r="C1110" s="672"/>
      <c r="D1110" s="672"/>
      <c r="E1110" s="676" t="s">
        <v>1135</v>
      </c>
      <c r="F1110" s="680" t="s">
        <v>1957</v>
      </c>
      <c r="G1110" s="710">
        <v>582</v>
      </c>
      <c r="H1110" s="682">
        <v>2130</v>
      </c>
      <c r="J1110" s="668" t="str">
        <f t="shared" si="179"/>
        <v>(2) Travel Expense Reimbursement</v>
      </c>
      <c r="L1110" s="668">
        <v>118</v>
      </c>
      <c r="M1110" s="669">
        <v>109</v>
      </c>
      <c r="N1110" s="668"/>
      <c r="O1110" s="668">
        <v>13</v>
      </c>
      <c r="P1110" s="668" t="str">
        <f>IFERROR(VLOOKUP(F1110, [2]MOE!B:C, 2, FALSE), "No")</f>
        <v>No</v>
      </c>
      <c r="Q1110" s="711" t="s">
        <v>1546</v>
      </c>
      <c r="S1110" s="670" t="s">
        <v>1930</v>
      </c>
      <c r="T1110" s="668" t="s">
        <v>1039</v>
      </c>
    </row>
    <row r="1111" spans="1:20">
      <c r="A1111" s="679">
        <v>5002130</v>
      </c>
      <c r="B1111" s="719"/>
      <c r="C1111" s="681"/>
      <c r="D1111" s="681"/>
      <c r="E1111" s="686" t="s">
        <v>1137</v>
      </c>
      <c r="F1111" s="680" t="s">
        <v>1958</v>
      </c>
      <c r="G1111" s="710">
        <v>500</v>
      </c>
      <c r="H1111" s="682">
        <v>2130</v>
      </c>
      <c r="J1111" s="668" t="str">
        <f t="shared" si="179"/>
        <v>(3) Other Purchased Services</v>
      </c>
      <c r="L1111" s="668">
        <v>119</v>
      </c>
      <c r="M1111" s="669">
        <v>110</v>
      </c>
      <c r="N1111" s="668"/>
      <c r="O1111" s="668">
        <v>13</v>
      </c>
      <c r="P1111" s="668" t="str">
        <f>IFERROR(VLOOKUP(F1111, [2]MOE!B:C, 2, FALSE), "No")</f>
        <v>No</v>
      </c>
      <c r="Q1111" s="711" t="s">
        <v>1546</v>
      </c>
      <c r="S1111" s="670" t="s">
        <v>1930</v>
      </c>
      <c r="T1111" s="668" t="s">
        <v>252</v>
      </c>
    </row>
    <row r="1112" spans="1:20">
      <c r="A1112" s="671"/>
      <c r="B1112" s="677"/>
      <c r="C1112" s="672"/>
      <c r="D1112" s="672" t="s">
        <v>850</v>
      </c>
      <c r="E1112" s="676" t="s">
        <v>254</v>
      </c>
      <c r="F1112" s="675"/>
      <c r="G1112" s="672"/>
      <c r="H1112" s="676"/>
      <c r="Q1112" s="711"/>
      <c r="S1112" s="670"/>
    </row>
    <row r="1113" spans="1:20">
      <c r="A1113" s="679">
        <v>6152130</v>
      </c>
      <c r="B1113" s="677"/>
      <c r="C1113" s="672"/>
      <c r="D1113" s="672"/>
      <c r="E1113" s="676" t="s">
        <v>1139</v>
      </c>
      <c r="F1113" s="680" t="s">
        <v>1959</v>
      </c>
      <c r="G1113" s="710">
        <v>615</v>
      </c>
      <c r="H1113" s="682">
        <v>2130</v>
      </c>
      <c r="J1113" s="668" t="str">
        <f t="shared" ref="J1113:J1115" si="180">E1113</f>
        <v>(1) Technology-Related Supplies</v>
      </c>
      <c r="L1113" s="668">
        <v>126</v>
      </c>
      <c r="M1113" s="669">
        <v>117</v>
      </c>
      <c r="N1113" s="668"/>
      <c r="O1113" s="668">
        <v>13</v>
      </c>
      <c r="P1113" s="668" t="str">
        <f>IFERROR(VLOOKUP(F1113, [2]MOE!B:C, 2, FALSE), "No")</f>
        <v>No</v>
      </c>
      <c r="Q1113" s="711" t="s">
        <v>1546</v>
      </c>
      <c r="S1113" s="670" t="s">
        <v>1930</v>
      </c>
      <c r="T1113" s="668" t="s">
        <v>1043</v>
      </c>
    </row>
    <row r="1114" spans="1:20">
      <c r="A1114" s="679">
        <v>6102130</v>
      </c>
      <c r="B1114" s="677"/>
      <c r="C1114" s="672"/>
      <c r="D1114" s="672"/>
      <c r="E1114" s="676" t="s">
        <v>1141</v>
      </c>
      <c r="F1114" s="680" t="s">
        <v>1960</v>
      </c>
      <c r="G1114" s="710">
        <v>610</v>
      </c>
      <c r="H1114" s="682">
        <v>2130</v>
      </c>
      <c r="J1114" s="668" t="str">
        <f t="shared" si="180"/>
        <v>(2) Materials and Supplies</v>
      </c>
      <c r="L1114" s="668">
        <v>122</v>
      </c>
      <c r="M1114" s="669">
        <v>113</v>
      </c>
      <c r="N1114" s="668"/>
      <c r="O1114" s="668">
        <v>13</v>
      </c>
      <c r="P1114" s="668" t="str">
        <f>IFERROR(VLOOKUP(F1114, [2]MOE!B:C, 2, FALSE), "No")</f>
        <v>No</v>
      </c>
      <c r="Q1114" s="711" t="s">
        <v>1546</v>
      </c>
      <c r="S1114" s="670" t="s">
        <v>1930</v>
      </c>
      <c r="T1114" s="668" t="s">
        <v>39</v>
      </c>
    </row>
    <row r="1115" spans="1:20">
      <c r="A1115" s="679">
        <v>6002130</v>
      </c>
      <c r="B1115" s="677"/>
      <c r="C1115" s="672"/>
      <c r="D1115" s="672"/>
      <c r="E1115" s="676" t="s">
        <v>1870</v>
      </c>
      <c r="F1115" s="680" t="s">
        <v>1961</v>
      </c>
      <c r="G1115" s="710">
        <v>600</v>
      </c>
      <c r="H1115" s="682">
        <v>2130</v>
      </c>
      <c r="J1115" s="668" t="str">
        <f t="shared" si="180"/>
        <v>(3) Other Supplies</v>
      </c>
      <c r="L1115" s="668">
        <v>126</v>
      </c>
      <c r="M1115" s="669">
        <v>117</v>
      </c>
      <c r="N1115" s="668"/>
      <c r="O1115" s="668">
        <v>13</v>
      </c>
      <c r="P1115" s="668" t="str">
        <f>IFERROR(VLOOKUP(F1115, [2]MOE!B:C, 2, FALSE), "No")</f>
        <v>No</v>
      </c>
      <c r="Q1115" s="711" t="s">
        <v>1546</v>
      </c>
      <c r="S1115" s="670" t="s">
        <v>1930</v>
      </c>
      <c r="T1115" s="668" t="s">
        <v>1050</v>
      </c>
    </row>
    <row r="1116" spans="1:20">
      <c r="A1116" s="671"/>
      <c r="B1116" s="677"/>
      <c r="C1116" s="672"/>
      <c r="D1116" s="672" t="s">
        <v>853</v>
      </c>
      <c r="E1116" s="676" t="s">
        <v>1052</v>
      </c>
      <c r="F1116" s="675"/>
      <c r="G1116" s="672"/>
      <c r="H1116" s="676"/>
      <c r="Q1116" s="711"/>
      <c r="S1116" s="670"/>
    </row>
    <row r="1117" spans="1:20">
      <c r="A1117" s="679">
        <v>7342130</v>
      </c>
      <c r="B1117" s="677"/>
      <c r="C1117" s="672"/>
      <c r="D1117" s="672"/>
      <c r="E1117" s="676" t="s">
        <v>1147</v>
      </c>
      <c r="F1117" s="680" t="s">
        <v>1962</v>
      </c>
      <c r="G1117" s="710">
        <v>734</v>
      </c>
      <c r="H1117" s="682">
        <v>2130</v>
      </c>
      <c r="J1117" s="668" t="str">
        <f t="shared" ref="J1117:J1120" si="181">E1117</f>
        <v>(1) Technology-Related Hardware</v>
      </c>
      <c r="L1117" s="668">
        <v>131</v>
      </c>
      <c r="M1117" s="669">
        <v>122</v>
      </c>
      <c r="N1117" s="668"/>
      <c r="O1117" s="668">
        <v>13</v>
      </c>
      <c r="P1117" s="668" t="str">
        <f>IFERROR(VLOOKUP(F1117, [2]MOE!B:C, 2, FALSE), "No")</f>
        <v>No</v>
      </c>
      <c r="Q1117" s="711" t="s">
        <v>1546</v>
      </c>
      <c r="S1117" s="670" t="s">
        <v>1930</v>
      </c>
      <c r="T1117" s="668" t="s">
        <v>1053</v>
      </c>
    </row>
    <row r="1118" spans="1:20">
      <c r="A1118" s="679">
        <v>7352130</v>
      </c>
      <c r="B1118" s="677"/>
      <c r="C1118" s="672"/>
      <c r="D1118" s="672"/>
      <c r="E1118" s="676" t="s">
        <v>1149</v>
      </c>
      <c r="F1118" s="680" t="s">
        <v>1963</v>
      </c>
      <c r="G1118" s="710">
        <v>735</v>
      </c>
      <c r="H1118" s="682">
        <v>2130</v>
      </c>
      <c r="J1118" s="668" t="str">
        <f t="shared" si="181"/>
        <v>(2) Technology Software</v>
      </c>
      <c r="L1118" s="668">
        <v>131</v>
      </c>
      <c r="M1118" s="669">
        <v>122</v>
      </c>
      <c r="N1118" s="668"/>
      <c r="O1118" s="668">
        <v>13</v>
      </c>
      <c r="P1118" s="668" t="str">
        <f>IFERROR(VLOOKUP(F1118, [2]MOE!B:C, 2, FALSE), "No")</f>
        <v>No</v>
      </c>
      <c r="Q1118" s="711" t="s">
        <v>1546</v>
      </c>
      <c r="S1118" s="670" t="s">
        <v>1930</v>
      </c>
      <c r="T1118" s="668" t="s">
        <v>1055</v>
      </c>
    </row>
    <row r="1119" spans="1:20">
      <c r="A1119" s="679">
        <v>7302130</v>
      </c>
      <c r="B1119" s="677"/>
      <c r="C1119" s="672"/>
      <c r="D1119" s="672"/>
      <c r="E1119" s="676" t="s">
        <v>1151</v>
      </c>
      <c r="F1119" s="680" t="s">
        <v>1964</v>
      </c>
      <c r="G1119" s="710">
        <v>730</v>
      </c>
      <c r="H1119" s="682">
        <v>2130</v>
      </c>
      <c r="J1119" s="668" t="str">
        <f t="shared" si="181"/>
        <v>(3) All Other Equipment</v>
      </c>
      <c r="L1119" s="668">
        <v>131</v>
      </c>
      <c r="M1119" s="669">
        <v>122</v>
      </c>
      <c r="N1119" s="668"/>
      <c r="O1119" s="668">
        <v>13</v>
      </c>
      <c r="P1119" s="668" t="str">
        <f>IFERROR(VLOOKUP(F1119, [2]MOE!B:C, 2, FALSE), "No")</f>
        <v>No</v>
      </c>
      <c r="Q1119" s="711" t="s">
        <v>1546</v>
      </c>
      <c r="S1119" s="670" t="s">
        <v>1930</v>
      </c>
      <c r="T1119" s="668" t="s">
        <v>1057</v>
      </c>
    </row>
    <row r="1120" spans="1:20">
      <c r="A1120" s="679">
        <v>7002130</v>
      </c>
      <c r="B1120" s="677"/>
      <c r="C1120" s="672"/>
      <c r="D1120" s="672"/>
      <c r="E1120" s="676" t="s">
        <v>1153</v>
      </c>
      <c r="F1120" s="680" t="s">
        <v>1965</v>
      </c>
      <c r="G1120" s="710">
        <v>700</v>
      </c>
      <c r="H1120" s="682">
        <v>2130</v>
      </c>
      <c r="J1120" s="668" t="str">
        <f t="shared" si="181"/>
        <v>(4) Other Property</v>
      </c>
      <c r="L1120" s="668">
        <v>132</v>
      </c>
      <c r="M1120" s="669">
        <v>123</v>
      </c>
      <c r="N1120" s="668"/>
      <c r="O1120" s="668">
        <v>13</v>
      </c>
      <c r="P1120" s="668" t="str">
        <f>IFERROR(VLOOKUP(F1120, [2]MOE!B:C, 2, FALSE), "No")</f>
        <v>No</v>
      </c>
      <c r="Q1120" s="711" t="s">
        <v>1546</v>
      </c>
      <c r="S1120" s="670" t="s">
        <v>1930</v>
      </c>
      <c r="T1120" s="668" t="s">
        <v>1059</v>
      </c>
    </row>
    <row r="1121" spans="1:20">
      <c r="A1121" s="671"/>
      <c r="B1121" s="677"/>
      <c r="C1121" s="672"/>
      <c r="D1121" s="672" t="s">
        <v>856</v>
      </c>
      <c r="E1121" s="676" t="s">
        <v>256</v>
      </c>
      <c r="F1121" s="675"/>
      <c r="G1121" s="672"/>
      <c r="H1121" s="676"/>
      <c r="Q1121" s="711"/>
      <c r="S1121" s="670"/>
    </row>
    <row r="1122" spans="1:20">
      <c r="A1122" s="679">
        <v>8952130</v>
      </c>
      <c r="B1122" s="677"/>
      <c r="C1122" s="672"/>
      <c r="D1122" s="672"/>
      <c r="E1122" s="676" t="s">
        <v>1155</v>
      </c>
      <c r="F1122" s="680" t="s">
        <v>1966</v>
      </c>
      <c r="G1122" s="710">
        <v>895</v>
      </c>
      <c r="H1122" s="682">
        <v>2130</v>
      </c>
      <c r="J1122" s="668" t="str">
        <f t="shared" ref="J1122:J1123" si="182">E1122</f>
        <v>(1) Miscellaneous Non-Public Expenditures</v>
      </c>
      <c r="L1122" s="668">
        <v>139</v>
      </c>
      <c r="M1122" s="669">
        <v>129</v>
      </c>
      <c r="N1122" s="668"/>
      <c r="O1122" s="668">
        <v>13</v>
      </c>
      <c r="P1122" s="668" t="str">
        <f>IFERROR(VLOOKUP(F1122, [2]MOE!B:C, 2, FALSE), "No")</f>
        <v>No</v>
      </c>
      <c r="Q1122" s="711" t="s">
        <v>1546</v>
      </c>
      <c r="S1122" s="670" t="s">
        <v>1930</v>
      </c>
      <c r="T1122" s="668" t="s">
        <v>1061</v>
      </c>
    </row>
    <row r="1123" spans="1:20">
      <c r="A1123" s="679">
        <v>8002130</v>
      </c>
      <c r="B1123" s="677"/>
      <c r="C1123" s="672"/>
      <c r="D1123" s="672"/>
      <c r="E1123" s="676" t="s">
        <v>1157</v>
      </c>
      <c r="F1123" s="680" t="s">
        <v>1967</v>
      </c>
      <c r="G1123" s="710">
        <v>800</v>
      </c>
      <c r="H1123" s="682">
        <v>2130</v>
      </c>
      <c r="J1123" s="668" t="str">
        <f t="shared" si="182"/>
        <v>(2) Other Miscellaneous Expenditures</v>
      </c>
      <c r="L1123" s="668">
        <v>139</v>
      </c>
      <c r="M1123" s="669">
        <v>129</v>
      </c>
      <c r="N1123" s="668"/>
      <c r="O1123" s="668">
        <v>13</v>
      </c>
      <c r="P1123" s="668" t="str">
        <f>IFERROR(VLOOKUP(F1123, [2]MOE!B:C, 2, FALSE), "No")</f>
        <v>No</v>
      </c>
      <c r="Q1123" s="711" t="s">
        <v>1546</v>
      </c>
      <c r="S1123" s="670" t="s">
        <v>1930</v>
      </c>
      <c r="T1123" s="668" t="s">
        <v>1063</v>
      </c>
    </row>
    <row r="1124" spans="1:20">
      <c r="A1124" s="671"/>
      <c r="B1124" s="677"/>
      <c r="C1124" s="672"/>
      <c r="D1124" s="672" t="s">
        <v>859</v>
      </c>
      <c r="E1124" s="676" t="s">
        <v>1065</v>
      </c>
      <c r="F1124" s="675"/>
      <c r="G1124" s="672"/>
      <c r="H1124" s="676"/>
      <c r="Q1124" s="711"/>
      <c r="S1124" s="670"/>
    </row>
    <row r="1125" spans="1:20">
      <c r="A1125" s="679">
        <v>2102130</v>
      </c>
      <c r="B1125" s="677"/>
      <c r="C1125" s="672"/>
      <c r="D1125" s="672"/>
      <c r="E1125" s="676" t="s">
        <v>1159</v>
      </c>
      <c r="F1125" s="680" t="s">
        <v>1968</v>
      </c>
      <c r="G1125" s="710">
        <v>210</v>
      </c>
      <c r="H1125" s="682">
        <v>2130</v>
      </c>
      <c r="J1125" s="668" t="str">
        <f t="shared" ref="J1125:J1127" si="183">E1125</f>
        <v>(1) Group Insurance</v>
      </c>
      <c r="L1125" s="668">
        <v>89</v>
      </c>
      <c r="M1125" s="669">
        <v>84</v>
      </c>
      <c r="N1125" s="668"/>
      <c r="O1125" s="668">
        <v>13</v>
      </c>
      <c r="P1125" s="668" t="str">
        <f>IFERROR(VLOOKUP(F1125, [2]MOE!B:C, 2, FALSE), "No")</f>
        <v>No</v>
      </c>
      <c r="Q1125" s="711" t="s">
        <v>1546</v>
      </c>
      <c r="S1125" s="670" t="s">
        <v>1930</v>
      </c>
      <c r="T1125" s="668" t="s">
        <v>1066</v>
      </c>
    </row>
    <row r="1126" spans="1:20">
      <c r="A1126" s="679">
        <v>2202130</v>
      </c>
      <c r="B1126" s="677"/>
      <c r="C1126" s="672"/>
      <c r="D1126" s="672"/>
      <c r="E1126" s="676" t="s">
        <v>1161</v>
      </c>
      <c r="F1126" s="680" t="s">
        <v>1969</v>
      </c>
      <c r="G1126" s="710">
        <v>220</v>
      </c>
      <c r="H1126" s="682">
        <v>2130</v>
      </c>
      <c r="J1126" s="668" t="str">
        <f t="shared" si="183"/>
        <v>(2) FICA</v>
      </c>
      <c r="L1126" s="668">
        <v>90</v>
      </c>
      <c r="M1126" s="669">
        <v>85</v>
      </c>
      <c r="N1126" s="668"/>
      <c r="O1126" s="668">
        <v>13</v>
      </c>
      <c r="P1126" s="668" t="str">
        <f>IFERROR(VLOOKUP(F1126, [2]MOE!B:C, 2, FALSE), "No")</f>
        <v>No</v>
      </c>
      <c r="Q1126" s="711" t="s">
        <v>1546</v>
      </c>
      <c r="S1126" s="670" t="s">
        <v>1930</v>
      </c>
      <c r="T1126" s="668" t="s">
        <v>1068</v>
      </c>
    </row>
    <row r="1127" spans="1:20">
      <c r="A1127" s="679">
        <v>2252130</v>
      </c>
      <c r="B1127" s="677"/>
      <c r="C1127" s="672"/>
      <c r="D1127" s="672"/>
      <c r="E1127" s="676" t="s">
        <v>1163</v>
      </c>
      <c r="F1127" s="680" t="s">
        <v>1970</v>
      </c>
      <c r="G1127" s="710">
        <v>225</v>
      </c>
      <c r="H1127" s="682">
        <v>2130</v>
      </c>
      <c r="J1127" s="668" t="str">
        <f t="shared" si="183"/>
        <v>(3) Medicare</v>
      </c>
      <c r="L1127" s="668">
        <v>91</v>
      </c>
      <c r="M1127" s="669">
        <v>86</v>
      </c>
      <c r="N1127" s="668"/>
      <c r="O1127" s="668">
        <v>13</v>
      </c>
      <c r="P1127" s="668" t="str">
        <f>IFERROR(VLOOKUP(F1127, [2]MOE!B:C, 2, FALSE), "No")</f>
        <v>No</v>
      </c>
      <c r="Q1127" s="711" t="s">
        <v>1546</v>
      </c>
      <c r="S1127" s="670" t="s">
        <v>1930</v>
      </c>
      <c r="T1127" s="668" t="s">
        <v>23</v>
      </c>
    </row>
    <row r="1128" spans="1:20">
      <c r="A1128" s="671"/>
      <c r="B1128" s="677"/>
      <c r="C1128" s="672"/>
      <c r="D1128" s="672"/>
      <c r="E1128" s="676" t="s">
        <v>1165</v>
      </c>
      <c r="F1128" s="675"/>
      <c r="G1128" s="672"/>
      <c r="H1128" s="676"/>
      <c r="Q1128" s="711"/>
      <c r="S1128" s="670"/>
    </row>
    <row r="1129" spans="1:20">
      <c r="A1129" s="679">
        <v>2312130</v>
      </c>
      <c r="B1129" s="677"/>
      <c r="C1129" s="672"/>
      <c r="D1129" s="672"/>
      <c r="E1129" s="676" t="s">
        <v>1166</v>
      </c>
      <c r="F1129" s="680" t="s">
        <v>1971</v>
      </c>
      <c r="G1129" s="710">
        <v>231</v>
      </c>
      <c r="H1129" s="682">
        <v>2130</v>
      </c>
      <c r="J1129" s="668" t="str">
        <f t="shared" ref="J1129:J1137" si="184">E1129</f>
        <v>(a) Louisiana Teachers Retirement</v>
      </c>
      <c r="L1129" s="668">
        <v>92</v>
      </c>
      <c r="M1129" s="669">
        <v>87</v>
      </c>
      <c r="N1129" s="668"/>
      <c r="O1129" s="668">
        <v>13</v>
      </c>
      <c r="P1129" s="668" t="str">
        <f>IFERROR(VLOOKUP(F1129, [2]MOE!B:C, 2, FALSE), "No")</f>
        <v>No</v>
      </c>
      <c r="Q1129" s="711" t="s">
        <v>1546</v>
      </c>
      <c r="S1129" s="670" t="s">
        <v>1930</v>
      </c>
      <c r="T1129" s="668" t="s">
        <v>1074</v>
      </c>
    </row>
    <row r="1130" spans="1:20">
      <c r="A1130" s="679">
        <v>2332130</v>
      </c>
      <c r="B1130" s="677"/>
      <c r="C1130" s="672"/>
      <c r="D1130" s="672"/>
      <c r="E1130" s="676" t="s">
        <v>1168</v>
      </c>
      <c r="F1130" s="680" t="s">
        <v>1972</v>
      </c>
      <c r="G1130" s="710">
        <v>233</v>
      </c>
      <c r="H1130" s="682">
        <v>2130</v>
      </c>
      <c r="J1130" s="668" t="str">
        <f t="shared" si="184"/>
        <v>(b) Louisiana School Emp. Retirement</v>
      </c>
      <c r="L1130" s="668">
        <v>92</v>
      </c>
      <c r="M1130" s="669">
        <v>87</v>
      </c>
      <c r="N1130" s="668"/>
      <c r="O1130" s="668">
        <v>13</v>
      </c>
      <c r="P1130" s="668" t="str">
        <f>IFERROR(VLOOKUP(F1130, [2]MOE!B:C, 2, FALSE), "No")</f>
        <v>No</v>
      </c>
      <c r="Q1130" s="711" t="s">
        <v>1546</v>
      </c>
      <c r="S1130" s="670" t="s">
        <v>1930</v>
      </c>
      <c r="T1130" s="668" t="s">
        <v>1170</v>
      </c>
    </row>
    <row r="1131" spans="1:20">
      <c r="A1131" s="679">
        <v>2392130</v>
      </c>
      <c r="B1131" s="677"/>
      <c r="C1131" s="672"/>
      <c r="D1131" s="672"/>
      <c r="E1131" s="676" t="s">
        <v>1171</v>
      </c>
      <c r="F1131" s="680" t="s">
        <v>1973</v>
      </c>
      <c r="G1131" s="710">
        <v>239</v>
      </c>
      <c r="H1131" s="682">
        <v>2130</v>
      </c>
      <c r="J1131" s="668" t="str">
        <f t="shared" si="184"/>
        <v>(c) Other Retirement</v>
      </c>
      <c r="L1131" s="668">
        <v>92</v>
      </c>
      <c r="M1131" s="669">
        <v>87</v>
      </c>
      <c r="N1131" s="668"/>
      <c r="O1131" s="668">
        <v>13</v>
      </c>
      <c r="P1131" s="668" t="str">
        <f>IFERROR(VLOOKUP(F1131, [2]MOE!B:C, 2, FALSE), "No")</f>
        <v>No</v>
      </c>
      <c r="Q1131" s="711" t="s">
        <v>1546</v>
      </c>
      <c r="S1131" s="670" t="s">
        <v>1930</v>
      </c>
      <c r="T1131" s="668" t="s">
        <v>1080</v>
      </c>
    </row>
    <row r="1132" spans="1:20">
      <c r="A1132" s="679">
        <v>2502130</v>
      </c>
      <c r="B1132" s="677"/>
      <c r="C1132" s="672"/>
      <c r="D1132" s="672"/>
      <c r="E1132" s="676" t="s">
        <v>1173</v>
      </c>
      <c r="F1132" s="680" t="s">
        <v>1974</v>
      </c>
      <c r="G1132" s="710">
        <v>250</v>
      </c>
      <c r="H1132" s="682">
        <v>2130</v>
      </c>
      <c r="J1132" s="668" t="str">
        <f t="shared" si="184"/>
        <v>(5) Unemployment Compensation</v>
      </c>
      <c r="L1132" s="668">
        <v>93</v>
      </c>
      <c r="M1132" s="669">
        <v>88</v>
      </c>
      <c r="N1132" s="668"/>
      <c r="O1132" s="668">
        <v>13</v>
      </c>
      <c r="P1132" s="668" t="str">
        <f>IFERROR(VLOOKUP(F1132, [2]MOE!B:C, 2, FALSE), "No")</f>
        <v>No</v>
      </c>
      <c r="Q1132" s="711" t="s">
        <v>1546</v>
      </c>
      <c r="S1132" s="670" t="s">
        <v>1930</v>
      </c>
      <c r="T1132" s="668" t="s">
        <v>1081</v>
      </c>
    </row>
    <row r="1133" spans="1:20">
      <c r="A1133" s="679">
        <v>2602130</v>
      </c>
      <c r="B1133" s="677"/>
      <c r="C1133" s="672"/>
      <c r="D1133" s="672"/>
      <c r="E1133" s="676" t="s">
        <v>1175</v>
      </c>
      <c r="F1133" s="680" t="s">
        <v>1975</v>
      </c>
      <c r="G1133" s="710">
        <v>260</v>
      </c>
      <c r="H1133" s="682">
        <v>2130</v>
      </c>
      <c r="J1133" s="668" t="str">
        <f t="shared" si="184"/>
        <v>(6) Workmen's Compensation</v>
      </c>
      <c r="L1133" s="668">
        <v>95</v>
      </c>
      <c r="M1133" s="669">
        <v>90</v>
      </c>
      <c r="N1133" s="668"/>
      <c r="O1133" s="668">
        <v>13</v>
      </c>
      <c r="P1133" s="668" t="str">
        <f>IFERROR(VLOOKUP(F1133, [2]MOE!B:C, 2, FALSE), "No")</f>
        <v>No</v>
      </c>
      <c r="Q1133" s="711" t="s">
        <v>1546</v>
      </c>
      <c r="S1133" s="670" t="s">
        <v>1930</v>
      </c>
      <c r="T1133" s="668" t="s">
        <v>1083</v>
      </c>
    </row>
    <row r="1134" spans="1:20">
      <c r="A1134" s="679">
        <v>2702130</v>
      </c>
      <c r="B1134" s="677"/>
      <c r="C1134" s="672"/>
      <c r="D1134" s="672"/>
      <c r="E1134" s="676" t="s">
        <v>1177</v>
      </c>
      <c r="F1134" s="680" t="s">
        <v>1976</v>
      </c>
      <c r="G1134" s="710">
        <v>270</v>
      </c>
      <c r="H1134" s="682">
        <v>2130</v>
      </c>
      <c r="J1134" s="668" t="str">
        <f t="shared" si="184"/>
        <v>(7) Health Benefits (retirees)</v>
      </c>
      <c r="L1134" s="668">
        <v>94</v>
      </c>
      <c r="M1134" s="669">
        <v>89</v>
      </c>
      <c r="N1134" s="668"/>
      <c r="O1134" s="668">
        <v>13</v>
      </c>
      <c r="P1134" s="668" t="str">
        <f>IFERROR(VLOOKUP(F1134, [2]MOE!B:C, 2, FALSE), "No")</f>
        <v>No</v>
      </c>
      <c r="Q1134" s="711" t="s">
        <v>1546</v>
      </c>
      <c r="S1134" s="670" t="s">
        <v>1930</v>
      </c>
      <c r="T1134" s="668" t="s">
        <v>1085</v>
      </c>
    </row>
    <row r="1135" spans="1:20">
      <c r="A1135" s="679">
        <v>2812130</v>
      </c>
      <c r="B1135" s="677"/>
      <c r="C1135" s="672"/>
      <c r="D1135" s="672"/>
      <c r="E1135" s="676" t="s">
        <v>1179</v>
      </c>
      <c r="F1135" s="680" t="s">
        <v>1977</v>
      </c>
      <c r="G1135" s="710">
        <v>281</v>
      </c>
      <c r="H1135" s="682">
        <v>2130</v>
      </c>
      <c r="J1135" s="668" t="str">
        <f t="shared" si="184"/>
        <v>(8) Sick Leave Severance Pay</v>
      </c>
      <c r="L1135" s="668">
        <v>95</v>
      </c>
      <c r="M1135" s="669">
        <v>90</v>
      </c>
      <c r="N1135" s="668"/>
      <c r="O1135" s="668">
        <v>13</v>
      </c>
      <c r="P1135" s="668" t="str">
        <f>IFERROR(VLOOKUP(F1135, [2]MOE!B:C, 2, FALSE), "No")</f>
        <v>No</v>
      </c>
      <c r="Q1135" s="711" t="s">
        <v>1546</v>
      </c>
      <c r="S1135" s="670" t="s">
        <v>1930</v>
      </c>
      <c r="T1135" s="668" t="s">
        <v>1087</v>
      </c>
    </row>
    <row r="1136" spans="1:20">
      <c r="A1136" s="679">
        <v>2822130</v>
      </c>
      <c r="B1136" s="677"/>
      <c r="C1136" s="672"/>
      <c r="D1136" s="672"/>
      <c r="E1136" s="676" t="s">
        <v>1181</v>
      </c>
      <c r="F1136" s="680" t="s">
        <v>1978</v>
      </c>
      <c r="G1136" s="710">
        <v>282</v>
      </c>
      <c r="H1136" s="682">
        <v>2130</v>
      </c>
      <c r="J1136" s="668" t="str">
        <f t="shared" si="184"/>
        <v>(9) Annual Leave Severance Pay</v>
      </c>
      <c r="L1136" s="668">
        <v>95</v>
      </c>
      <c r="M1136" s="669">
        <v>90</v>
      </c>
      <c r="N1136" s="668"/>
      <c r="O1136" s="668">
        <v>13</v>
      </c>
      <c r="P1136" s="668" t="str">
        <f>IFERROR(VLOOKUP(F1136, [2]MOE!B:C, 2, FALSE), "No")</f>
        <v>No</v>
      </c>
      <c r="Q1136" s="711" t="s">
        <v>1546</v>
      </c>
      <c r="S1136" s="670" t="s">
        <v>1930</v>
      </c>
      <c r="T1136" s="668" t="s">
        <v>1089</v>
      </c>
    </row>
    <row r="1137" spans="1:20">
      <c r="A1137" s="679">
        <v>2902130</v>
      </c>
      <c r="B1137" s="677"/>
      <c r="C1137" s="672"/>
      <c r="D1137" s="672"/>
      <c r="E1137" s="676" t="s">
        <v>1183</v>
      </c>
      <c r="F1137" s="683" t="s">
        <v>1979</v>
      </c>
      <c r="G1137" s="678">
        <v>290</v>
      </c>
      <c r="H1137" s="684">
        <v>2130</v>
      </c>
      <c r="J1137" s="668" t="str">
        <f t="shared" si="184"/>
        <v>(10) Other Employee Benefits</v>
      </c>
      <c r="L1137" s="668">
        <v>95</v>
      </c>
      <c r="M1137" s="669">
        <v>90</v>
      </c>
      <c r="N1137" s="668"/>
      <c r="O1137" s="668">
        <v>13</v>
      </c>
      <c r="P1137" s="668" t="str">
        <f>IFERROR(VLOOKUP(F1137, [2]MOE!B:C, 2, FALSE), "No")</f>
        <v>No</v>
      </c>
      <c r="Q1137" s="711" t="s">
        <v>1546</v>
      </c>
      <c r="S1137" s="670" t="s">
        <v>1930</v>
      </c>
      <c r="T1137" s="668" t="s">
        <v>1092</v>
      </c>
    </row>
    <row r="1138" spans="1:20">
      <c r="A1138" s="671"/>
      <c r="B1138" s="677"/>
      <c r="C1138" s="678">
        <v>50</v>
      </c>
      <c r="D1138" s="925" t="s">
        <v>1980</v>
      </c>
      <c r="E1138" s="926"/>
      <c r="F1138" s="675"/>
      <c r="G1138" s="672"/>
      <c r="H1138" s="676"/>
      <c r="Q1138" s="711"/>
      <c r="S1138" s="670"/>
    </row>
    <row r="1139" spans="1:20">
      <c r="A1139" s="671"/>
      <c r="B1139" s="677"/>
      <c r="C1139" s="672"/>
      <c r="D1139" s="672" t="s">
        <v>759</v>
      </c>
      <c r="E1139" s="676" t="s">
        <v>244</v>
      </c>
      <c r="F1139" s="675"/>
      <c r="G1139" s="672"/>
      <c r="H1139" s="676"/>
      <c r="Q1139" s="711"/>
      <c r="S1139" s="670"/>
    </row>
    <row r="1140" spans="1:20">
      <c r="A1140" s="679">
        <v>1112141</v>
      </c>
      <c r="B1140" s="677"/>
      <c r="C1140" s="672"/>
      <c r="D1140" s="672"/>
      <c r="E1140" s="676" t="s">
        <v>1845</v>
      </c>
      <c r="F1140" s="680" t="s">
        <v>1981</v>
      </c>
      <c r="G1140" s="710">
        <v>111</v>
      </c>
      <c r="H1140" s="682">
        <v>2141</v>
      </c>
      <c r="J1140" s="668" t="str">
        <f t="shared" ref="J1140:J1147" si="185">E1140</f>
        <v>(1) Supervisors</v>
      </c>
      <c r="L1140" s="668">
        <v>81</v>
      </c>
      <c r="M1140" s="669">
        <v>76</v>
      </c>
      <c r="N1140" s="668"/>
      <c r="O1140" s="668">
        <v>13</v>
      </c>
      <c r="P1140" s="668" t="str">
        <f>IFERROR(VLOOKUP(F1140, [2]MOE!B:C, 2, FALSE), "No")</f>
        <v>YES</v>
      </c>
      <c r="Q1140" s="711" t="s">
        <v>1546</v>
      </c>
      <c r="S1140" s="670" t="s">
        <v>1982</v>
      </c>
      <c r="T1140" s="668" t="s">
        <v>1848</v>
      </c>
    </row>
    <row r="1141" spans="1:20">
      <c r="A1141" s="679">
        <v>1132143</v>
      </c>
      <c r="B1141" s="677"/>
      <c r="C1141" s="672"/>
      <c r="D1141" s="672"/>
      <c r="E1141" s="676" t="s">
        <v>1983</v>
      </c>
      <c r="F1141" s="680" t="s">
        <v>1984</v>
      </c>
      <c r="G1141" s="710">
        <v>113</v>
      </c>
      <c r="H1141" s="682">
        <v>2143</v>
      </c>
      <c r="J1141" s="668" t="str">
        <f t="shared" si="185"/>
        <v>(2) Psychologists</v>
      </c>
      <c r="L1141" s="668">
        <v>83</v>
      </c>
      <c r="M1141" s="669">
        <v>78</v>
      </c>
      <c r="N1141" s="668"/>
      <c r="O1141" s="668">
        <v>13</v>
      </c>
      <c r="P1141" s="668" t="str">
        <f>IFERROR(VLOOKUP(F1141, [2]MOE!B:C, 2, FALSE), "No")</f>
        <v>YES</v>
      </c>
      <c r="Q1141" s="711" t="s">
        <v>1546</v>
      </c>
      <c r="S1141" s="670" t="s">
        <v>1982</v>
      </c>
      <c r="T1141" s="668" t="s">
        <v>1985</v>
      </c>
    </row>
    <row r="1142" spans="1:20">
      <c r="A1142" s="679">
        <v>1132145</v>
      </c>
      <c r="B1142" s="677"/>
      <c r="C1142" s="672"/>
      <c r="D1142" s="672"/>
      <c r="E1142" s="676" t="s">
        <v>1986</v>
      </c>
      <c r="F1142" s="680" t="s">
        <v>1987</v>
      </c>
      <c r="G1142" s="710">
        <v>113</v>
      </c>
      <c r="H1142" s="682">
        <v>2145</v>
      </c>
      <c r="J1142" s="668" t="str">
        <f t="shared" si="185"/>
        <v>(3) Educational Diagnosticians</v>
      </c>
      <c r="L1142" s="668">
        <v>83</v>
      </c>
      <c r="M1142" s="669">
        <v>78</v>
      </c>
      <c r="N1142" s="668"/>
      <c r="O1142" s="668">
        <v>13</v>
      </c>
      <c r="P1142" s="668" t="str">
        <f>IFERROR(VLOOKUP(F1142, [2]MOE!B:C, 2, FALSE), "No")</f>
        <v>YES</v>
      </c>
      <c r="Q1142" s="711" t="s">
        <v>1546</v>
      </c>
      <c r="S1142" s="670" t="s">
        <v>1982</v>
      </c>
      <c r="T1142" s="668" t="s">
        <v>1988</v>
      </c>
    </row>
    <row r="1143" spans="1:20">
      <c r="A1143" s="679">
        <v>1132140</v>
      </c>
      <c r="B1143" s="677"/>
      <c r="C1143" s="672"/>
      <c r="D1143" s="672"/>
      <c r="E1143" s="676" t="s">
        <v>1989</v>
      </c>
      <c r="F1143" s="680" t="s">
        <v>1990</v>
      </c>
      <c r="G1143" s="710">
        <v>113</v>
      </c>
      <c r="H1143" s="682">
        <v>2140</v>
      </c>
      <c r="J1143" s="668" t="str">
        <f t="shared" si="185"/>
        <v>(4) Other Therap./Counselors/Soc. Workers</v>
      </c>
      <c r="L1143" s="668">
        <v>83</v>
      </c>
      <c r="M1143" s="669">
        <v>78</v>
      </c>
      <c r="N1143" s="668"/>
      <c r="O1143" s="668">
        <v>13</v>
      </c>
      <c r="P1143" s="668" t="str">
        <f>IFERROR(VLOOKUP(F1143, [2]MOE!B:C, 2, FALSE), "No")</f>
        <v>YES</v>
      </c>
      <c r="Q1143" s="711" t="s">
        <v>1546</v>
      </c>
      <c r="S1143" s="670" t="s">
        <v>1982</v>
      </c>
      <c r="T1143" s="668" t="s">
        <v>1991</v>
      </c>
    </row>
    <row r="1144" spans="1:20">
      <c r="A1144" s="679">
        <v>1142140</v>
      </c>
      <c r="B1144" s="677"/>
      <c r="C1144" s="672"/>
      <c r="D1144" s="672"/>
      <c r="E1144" s="676" t="s">
        <v>1940</v>
      </c>
      <c r="F1144" s="680" t="s">
        <v>1992</v>
      </c>
      <c r="G1144" s="710">
        <v>114</v>
      </c>
      <c r="H1144" s="682">
        <v>2140</v>
      </c>
      <c r="J1144" s="668" t="str">
        <f t="shared" si="185"/>
        <v>(5) Clerical/Secretarial</v>
      </c>
      <c r="L1144" s="668">
        <v>84</v>
      </c>
      <c r="M1144" s="669">
        <v>79</v>
      </c>
      <c r="N1144" s="668"/>
      <c r="O1144" s="668">
        <v>13</v>
      </c>
      <c r="P1144" s="668" t="str">
        <f>IFERROR(VLOOKUP(F1144, [2]MOE!B:C, 2, FALSE), "No")</f>
        <v>YES</v>
      </c>
      <c r="Q1144" s="711" t="s">
        <v>1546</v>
      </c>
      <c r="S1144" s="670" t="s">
        <v>1982</v>
      </c>
      <c r="T1144" s="668" t="s">
        <v>1854</v>
      </c>
    </row>
    <row r="1145" spans="1:20">
      <c r="A1145" s="679">
        <v>1002140</v>
      </c>
      <c r="B1145" s="677"/>
      <c r="C1145" s="672"/>
      <c r="D1145" s="672"/>
      <c r="E1145" s="676" t="s">
        <v>1993</v>
      </c>
      <c r="F1145" s="680" t="s">
        <v>1994</v>
      </c>
      <c r="G1145" s="710">
        <v>100</v>
      </c>
      <c r="H1145" s="680">
        <v>2140</v>
      </c>
      <c r="J1145" s="668" t="str">
        <f t="shared" si="185"/>
        <v>(6) Other Salaries</v>
      </c>
      <c r="L1145" s="668">
        <v>86</v>
      </c>
      <c r="M1145" s="669">
        <v>81</v>
      </c>
      <c r="N1145" s="668"/>
      <c r="O1145" s="668">
        <v>13</v>
      </c>
      <c r="P1145" s="668" t="str">
        <f>IFERROR(VLOOKUP(F1145, [2]MOE!B:C, 2, FALSE), "No")</f>
        <v>YES</v>
      </c>
      <c r="Q1145" s="711" t="s">
        <v>1546</v>
      </c>
      <c r="S1145" s="670" t="s">
        <v>1982</v>
      </c>
      <c r="T1145" s="668" t="s">
        <v>1947</v>
      </c>
    </row>
    <row r="1146" spans="1:20">
      <c r="A1146" s="679">
        <v>1402140</v>
      </c>
      <c r="B1146" s="677"/>
      <c r="C1146" s="672"/>
      <c r="D1146" s="672"/>
      <c r="E1146" s="676" t="s">
        <v>1995</v>
      </c>
      <c r="F1146" s="680" t="s">
        <v>1996</v>
      </c>
      <c r="G1146" s="710">
        <v>140</v>
      </c>
      <c r="H1146" s="682">
        <v>2140</v>
      </c>
      <c r="J1146" s="668" t="str">
        <f t="shared" si="185"/>
        <v>(7) Sabbatical Leave</v>
      </c>
      <c r="L1146" s="668">
        <v>86</v>
      </c>
      <c r="M1146" s="669">
        <v>81</v>
      </c>
      <c r="N1146" s="668"/>
      <c r="O1146" s="668">
        <v>13</v>
      </c>
      <c r="P1146" s="668" t="str">
        <f>IFERROR(VLOOKUP(F1146, [2]MOE!B:C, 2, FALSE), "No")</f>
        <v>YES</v>
      </c>
      <c r="Q1146" s="711" t="s">
        <v>1546</v>
      </c>
      <c r="S1146" s="670" t="s">
        <v>1982</v>
      </c>
      <c r="T1146" s="668" t="s">
        <v>1019</v>
      </c>
    </row>
    <row r="1147" spans="1:20">
      <c r="A1147" s="679">
        <v>3002140</v>
      </c>
      <c r="B1147" s="677"/>
      <c r="C1147" s="672"/>
      <c r="D1147" s="672" t="s">
        <v>777</v>
      </c>
      <c r="E1147" s="676" t="s">
        <v>1113</v>
      </c>
      <c r="F1147" s="680" t="s">
        <v>1997</v>
      </c>
      <c r="G1147" s="710">
        <v>300</v>
      </c>
      <c r="H1147" s="682">
        <v>2140</v>
      </c>
      <c r="J1147" s="668" t="str">
        <f t="shared" si="185"/>
        <v>Purchased Professional and Technical Svcs</v>
      </c>
      <c r="L1147" s="668">
        <v>101</v>
      </c>
      <c r="M1147" s="669">
        <v>96</v>
      </c>
      <c r="N1147" s="668"/>
      <c r="O1147" s="668">
        <v>13</v>
      </c>
      <c r="P1147" s="668" t="str">
        <f>IFERROR(VLOOKUP(F1147, [2]MOE!B:C, 2, FALSE), "No")</f>
        <v>YES</v>
      </c>
      <c r="Q1147" s="711" t="s">
        <v>1546</v>
      </c>
      <c r="S1147" s="670" t="s">
        <v>1982</v>
      </c>
      <c r="T1147" s="668" t="s">
        <v>1113</v>
      </c>
    </row>
    <row r="1148" spans="1:20">
      <c r="A1148" s="671"/>
      <c r="B1148" s="677"/>
      <c r="C1148" s="672"/>
      <c r="D1148" s="672" t="s">
        <v>801</v>
      </c>
      <c r="E1148" s="676" t="s">
        <v>250</v>
      </c>
      <c r="F1148" s="675"/>
      <c r="G1148" s="672"/>
      <c r="H1148" s="676"/>
      <c r="Q1148" s="711"/>
      <c r="S1148" s="670"/>
    </row>
    <row r="1149" spans="1:20">
      <c r="A1149" s="679">
        <v>4302140</v>
      </c>
      <c r="B1149" s="677"/>
      <c r="C1149" s="672"/>
      <c r="D1149" s="672"/>
      <c r="E1149" s="676" t="s">
        <v>1115</v>
      </c>
      <c r="F1149" s="680" t="s">
        <v>1998</v>
      </c>
      <c r="G1149" s="710">
        <v>430</v>
      </c>
      <c r="H1149" s="682">
        <v>2140</v>
      </c>
      <c r="J1149" s="668" t="str">
        <f t="shared" ref="J1149:J1151" si="186">E1149</f>
        <v>(1) Repairs and Maintenance Services</v>
      </c>
      <c r="L1149" s="668">
        <v>107</v>
      </c>
      <c r="M1149" s="669">
        <v>102</v>
      </c>
      <c r="N1149" s="668"/>
      <c r="O1149" s="668">
        <v>13</v>
      </c>
      <c r="P1149" s="668" t="str">
        <f>IFERROR(VLOOKUP(F1149, [2]MOE!B:C, 2, FALSE), "No")</f>
        <v>YES</v>
      </c>
      <c r="Q1149" s="711" t="s">
        <v>1546</v>
      </c>
      <c r="S1149" s="670" t="s">
        <v>1982</v>
      </c>
      <c r="T1149" s="668" t="s">
        <v>1023</v>
      </c>
    </row>
    <row r="1150" spans="1:20">
      <c r="A1150" s="679">
        <v>4422140</v>
      </c>
      <c r="B1150" s="677"/>
      <c r="C1150" s="672"/>
      <c r="D1150" s="672"/>
      <c r="E1150" s="676" t="s">
        <v>1117</v>
      </c>
      <c r="F1150" s="680" t="s">
        <v>1999</v>
      </c>
      <c r="G1150" s="710">
        <v>442</v>
      </c>
      <c r="H1150" s="682">
        <v>2140</v>
      </c>
      <c r="J1150" s="668" t="str">
        <f t="shared" si="186"/>
        <v>(2) Rental of Equipment</v>
      </c>
      <c r="L1150" s="668">
        <v>106</v>
      </c>
      <c r="M1150" s="669">
        <v>101</v>
      </c>
      <c r="N1150" s="668"/>
      <c r="O1150" s="668">
        <v>13</v>
      </c>
      <c r="P1150" s="668" t="str">
        <f>IFERROR(VLOOKUP(F1150, [2]MOE!B:C, 2, FALSE), "No")</f>
        <v>YES</v>
      </c>
      <c r="Q1150" s="711" t="s">
        <v>1546</v>
      </c>
      <c r="S1150" s="670" t="s">
        <v>1982</v>
      </c>
      <c r="T1150" s="668" t="s">
        <v>1025</v>
      </c>
    </row>
    <row r="1151" spans="1:20">
      <c r="A1151" s="679">
        <v>4002140</v>
      </c>
      <c r="B1151" s="677"/>
      <c r="C1151" s="672"/>
      <c r="D1151" s="672"/>
      <c r="E1151" s="676" t="s">
        <v>1119</v>
      </c>
      <c r="F1151" s="680" t="s">
        <v>2000</v>
      </c>
      <c r="G1151" s="710">
        <v>400</v>
      </c>
      <c r="H1151" s="682">
        <v>2140</v>
      </c>
      <c r="J1151" s="668" t="str">
        <f t="shared" si="186"/>
        <v>(3) Other Purchased Property Services</v>
      </c>
      <c r="L1151" s="668">
        <v>108</v>
      </c>
      <c r="M1151" s="669">
        <v>103</v>
      </c>
      <c r="N1151" s="668"/>
      <c r="O1151" s="668">
        <v>13</v>
      </c>
      <c r="P1151" s="668" t="str">
        <f>IFERROR(VLOOKUP(F1151, [2]MOE!B:C, 2, FALSE), "No")</f>
        <v>YES</v>
      </c>
      <c r="Q1151" s="711" t="s">
        <v>1546</v>
      </c>
      <c r="S1151" s="670" t="s">
        <v>1982</v>
      </c>
      <c r="T1151" s="668" t="s">
        <v>1027</v>
      </c>
    </row>
    <row r="1152" spans="1:20">
      <c r="A1152" s="671"/>
      <c r="B1152" s="677"/>
      <c r="C1152" s="672"/>
      <c r="D1152" s="672" t="s">
        <v>805</v>
      </c>
      <c r="E1152" s="676" t="s">
        <v>252</v>
      </c>
      <c r="F1152" s="675"/>
      <c r="G1152" s="672"/>
      <c r="H1152" s="676"/>
      <c r="Q1152" s="711"/>
      <c r="S1152" s="670"/>
    </row>
    <row r="1153" spans="1:20">
      <c r="A1153" s="679">
        <v>5822140</v>
      </c>
      <c r="B1153" s="677"/>
      <c r="C1153" s="672"/>
      <c r="D1153" s="672"/>
      <c r="E1153" s="676" t="s">
        <v>1864</v>
      </c>
      <c r="F1153" s="680" t="s">
        <v>2001</v>
      </c>
      <c r="G1153" s="710">
        <v>582</v>
      </c>
      <c r="H1153" s="682">
        <v>2140</v>
      </c>
      <c r="J1153" s="668" t="str">
        <f t="shared" ref="J1153:J1154" si="187">E1153</f>
        <v>(1) Travel Expense Reimbursement</v>
      </c>
      <c r="L1153" s="668">
        <v>118</v>
      </c>
      <c r="M1153" s="669">
        <v>109</v>
      </c>
      <c r="N1153" s="668"/>
      <c r="O1153" s="668">
        <v>13</v>
      </c>
      <c r="P1153" s="668" t="str">
        <f>IFERROR(VLOOKUP(F1153, [2]MOE!B:C, 2, FALSE), "No")</f>
        <v>YES</v>
      </c>
      <c r="Q1153" s="711" t="s">
        <v>1546</v>
      </c>
      <c r="S1153" s="670" t="s">
        <v>1982</v>
      </c>
      <c r="T1153" s="668" t="s">
        <v>1039</v>
      </c>
    </row>
    <row r="1154" spans="1:20">
      <c r="A1154" s="679">
        <v>5002140</v>
      </c>
      <c r="B1154" s="677"/>
      <c r="C1154" s="672"/>
      <c r="D1154" s="672"/>
      <c r="E1154" s="676" t="s">
        <v>1866</v>
      </c>
      <c r="F1154" s="680" t="s">
        <v>2002</v>
      </c>
      <c r="G1154" s="710">
        <v>500</v>
      </c>
      <c r="H1154" s="682">
        <v>2140</v>
      </c>
      <c r="J1154" s="668" t="str">
        <f t="shared" si="187"/>
        <v>(2) Other Purchased Services</v>
      </c>
      <c r="L1154" s="668">
        <v>119</v>
      </c>
      <c r="M1154" s="669">
        <v>110</v>
      </c>
      <c r="N1154" s="668"/>
      <c r="O1154" s="668">
        <v>13</v>
      </c>
      <c r="P1154" s="668" t="str">
        <f>IFERROR(VLOOKUP(F1154, [2]MOE!B:C, 2, FALSE), "No")</f>
        <v>YES</v>
      </c>
      <c r="Q1154" s="711" t="s">
        <v>1546</v>
      </c>
      <c r="S1154" s="670" t="s">
        <v>1982</v>
      </c>
      <c r="T1154" s="668" t="s">
        <v>252</v>
      </c>
    </row>
    <row r="1155" spans="1:20">
      <c r="A1155" s="671"/>
      <c r="B1155" s="677"/>
      <c r="C1155" s="672"/>
      <c r="D1155" s="672" t="s">
        <v>850</v>
      </c>
      <c r="E1155" s="676" t="s">
        <v>254</v>
      </c>
      <c r="F1155" s="675"/>
      <c r="G1155" s="672"/>
      <c r="H1155" s="676"/>
      <c r="Q1155" s="711"/>
      <c r="S1155" s="670"/>
    </row>
    <row r="1156" spans="1:20">
      <c r="A1156" s="679">
        <v>6152140</v>
      </c>
      <c r="B1156" s="677"/>
      <c r="C1156" s="672"/>
      <c r="D1156" s="672"/>
      <c r="E1156" s="676" t="s">
        <v>1139</v>
      </c>
      <c r="F1156" s="680" t="s">
        <v>2003</v>
      </c>
      <c r="G1156" s="710">
        <v>615</v>
      </c>
      <c r="H1156" s="680">
        <v>2140</v>
      </c>
      <c r="J1156" s="668" t="str">
        <f t="shared" ref="J1156:J1158" si="188">E1156</f>
        <v>(1) Technology-Related Supplies</v>
      </c>
      <c r="L1156" s="668">
        <v>126</v>
      </c>
      <c r="M1156" s="669">
        <v>117</v>
      </c>
      <c r="N1156" s="668"/>
      <c r="O1156" s="668">
        <v>13</v>
      </c>
      <c r="P1156" s="668" t="str">
        <f>IFERROR(VLOOKUP(F1156, [2]MOE!B:C, 2, FALSE), "No")</f>
        <v>YES</v>
      </c>
      <c r="Q1156" s="711" t="s">
        <v>1546</v>
      </c>
      <c r="S1156" s="670" t="s">
        <v>1982</v>
      </c>
      <c r="T1156" s="668" t="s">
        <v>1043</v>
      </c>
    </row>
    <row r="1157" spans="1:20">
      <c r="A1157" s="679">
        <v>6102140</v>
      </c>
      <c r="B1157" s="677"/>
      <c r="C1157" s="672"/>
      <c r="D1157" s="672"/>
      <c r="E1157" s="676" t="s">
        <v>1141</v>
      </c>
      <c r="F1157" s="680" t="s">
        <v>2004</v>
      </c>
      <c r="G1157" s="710">
        <v>610</v>
      </c>
      <c r="H1157" s="682">
        <v>2140</v>
      </c>
      <c r="J1157" s="668" t="str">
        <f t="shared" si="188"/>
        <v>(2) Materials and Supplies</v>
      </c>
      <c r="L1157" s="668">
        <v>122</v>
      </c>
      <c r="M1157" s="669">
        <v>113</v>
      </c>
      <c r="N1157" s="668"/>
      <c r="O1157" s="668">
        <v>13</v>
      </c>
      <c r="P1157" s="668" t="str">
        <f>IFERROR(VLOOKUP(F1157, [2]MOE!B:C, 2, FALSE), "No")</f>
        <v>YES</v>
      </c>
      <c r="Q1157" s="711" t="s">
        <v>1546</v>
      </c>
      <c r="S1157" s="670" t="s">
        <v>1982</v>
      </c>
      <c r="T1157" s="668" t="s">
        <v>39</v>
      </c>
    </row>
    <row r="1158" spans="1:20">
      <c r="A1158" s="679">
        <v>6002140</v>
      </c>
      <c r="B1158" s="677"/>
      <c r="C1158" s="672"/>
      <c r="D1158" s="672"/>
      <c r="E1158" s="676" t="s">
        <v>1870</v>
      </c>
      <c r="F1158" s="680" t="s">
        <v>2005</v>
      </c>
      <c r="G1158" s="710">
        <v>600</v>
      </c>
      <c r="H1158" s="682">
        <v>2140</v>
      </c>
      <c r="J1158" s="668" t="str">
        <f t="shared" si="188"/>
        <v>(3) Other Supplies</v>
      </c>
      <c r="L1158" s="668">
        <v>126</v>
      </c>
      <c r="M1158" s="669">
        <v>117</v>
      </c>
      <c r="N1158" s="668"/>
      <c r="O1158" s="668">
        <v>13</v>
      </c>
      <c r="P1158" s="668" t="str">
        <f>IFERROR(VLOOKUP(F1158, [2]MOE!B:C, 2, FALSE), "No")</f>
        <v>YES</v>
      </c>
      <c r="Q1158" s="711" t="s">
        <v>1546</v>
      </c>
      <c r="S1158" s="670" t="s">
        <v>1982</v>
      </c>
      <c r="T1158" s="668" t="s">
        <v>1050</v>
      </c>
    </row>
    <row r="1159" spans="1:20">
      <c r="A1159" s="671"/>
      <c r="B1159" s="677"/>
      <c r="C1159" s="672"/>
      <c r="D1159" s="672" t="s">
        <v>853</v>
      </c>
      <c r="E1159" s="676" t="s">
        <v>1052</v>
      </c>
      <c r="F1159" s="675"/>
      <c r="G1159" s="672"/>
      <c r="H1159" s="676"/>
      <c r="Q1159" s="711"/>
      <c r="S1159" s="670"/>
    </row>
    <row r="1160" spans="1:20">
      <c r="A1160" s="679">
        <v>7342140</v>
      </c>
      <c r="B1160" s="677"/>
      <c r="C1160" s="672"/>
      <c r="D1160" s="672"/>
      <c r="E1160" s="676" t="s">
        <v>1147</v>
      </c>
      <c r="F1160" s="680" t="s">
        <v>2006</v>
      </c>
      <c r="G1160" s="710">
        <v>734</v>
      </c>
      <c r="H1160" s="682">
        <v>2140</v>
      </c>
      <c r="J1160" s="668" t="str">
        <f t="shared" ref="J1160:J1163" si="189">E1160</f>
        <v>(1) Technology-Related Hardware</v>
      </c>
      <c r="L1160" s="668">
        <v>131</v>
      </c>
      <c r="M1160" s="669">
        <v>122</v>
      </c>
      <c r="N1160" s="668"/>
      <c r="O1160" s="668">
        <v>13</v>
      </c>
      <c r="P1160" s="668" t="str">
        <f>IFERROR(VLOOKUP(F1160, [2]MOE!B:C, 2, FALSE), "No")</f>
        <v>No</v>
      </c>
      <c r="Q1160" s="711" t="s">
        <v>1546</v>
      </c>
      <c r="S1160" s="670" t="s">
        <v>1982</v>
      </c>
      <c r="T1160" s="668" t="s">
        <v>1053</v>
      </c>
    </row>
    <row r="1161" spans="1:20">
      <c r="A1161" s="679">
        <v>7352140</v>
      </c>
      <c r="B1161" s="677"/>
      <c r="C1161" s="672"/>
      <c r="D1161" s="672"/>
      <c r="E1161" s="676" t="s">
        <v>1149</v>
      </c>
      <c r="F1161" s="680" t="s">
        <v>2007</v>
      </c>
      <c r="G1161" s="710">
        <v>735</v>
      </c>
      <c r="H1161" s="682">
        <v>2140</v>
      </c>
      <c r="J1161" s="668" t="str">
        <f t="shared" si="189"/>
        <v>(2) Technology Software</v>
      </c>
      <c r="L1161" s="668">
        <v>131</v>
      </c>
      <c r="M1161" s="669">
        <v>122</v>
      </c>
      <c r="N1161" s="668"/>
      <c r="O1161" s="668">
        <v>13</v>
      </c>
      <c r="P1161" s="668" t="str">
        <f>IFERROR(VLOOKUP(F1161, [2]MOE!B:C, 2, FALSE), "No")</f>
        <v>No</v>
      </c>
      <c r="Q1161" s="711" t="s">
        <v>1546</v>
      </c>
      <c r="S1161" s="670" t="s">
        <v>1982</v>
      </c>
      <c r="T1161" s="668" t="s">
        <v>1055</v>
      </c>
    </row>
    <row r="1162" spans="1:20">
      <c r="A1162" s="679">
        <v>7302140</v>
      </c>
      <c r="B1162" s="677"/>
      <c r="C1162" s="672"/>
      <c r="D1162" s="672"/>
      <c r="E1162" s="676" t="s">
        <v>1151</v>
      </c>
      <c r="F1162" s="680" t="s">
        <v>2008</v>
      </c>
      <c r="G1162" s="710">
        <v>730</v>
      </c>
      <c r="H1162" s="682">
        <v>2140</v>
      </c>
      <c r="J1162" s="668" t="str">
        <f t="shared" si="189"/>
        <v>(3) All Other Equipment</v>
      </c>
      <c r="L1162" s="668">
        <v>131</v>
      </c>
      <c r="M1162" s="669">
        <v>122</v>
      </c>
      <c r="N1162" s="668"/>
      <c r="O1162" s="668">
        <v>13</v>
      </c>
      <c r="P1162" s="668" t="str">
        <f>IFERROR(VLOOKUP(F1162, [2]MOE!B:C, 2, FALSE), "No")</f>
        <v>No</v>
      </c>
      <c r="Q1162" s="711" t="s">
        <v>1546</v>
      </c>
      <c r="S1162" s="670" t="s">
        <v>1982</v>
      </c>
      <c r="T1162" s="668" t="s">
        <v>1057</v>
      </c>
    </row>
    <row r="1163" spans="1:20">
      <c r="A1163" s="679">
        <v>7002140</v>
      </c>
      <c r="B1163" s="677"/>
      <c r="C1163" s="672"/>
      <c r="D1163" s="672"/>
      <c r="E1163" s="676" t="s">
        <v>1153</v>
      </c>
      <c r="F1163" s="680" t="s">
        <v>2009</v>
      </c>
      <c r="G1163" s="710">
        <v>700</v>
      </c>
      <c r="H1163" s="682">
        <v>2140</v>
      </c>
      <c r="J1163" s="668" t="str">
        <f t="shared" si="189"/>
        <v>(4) Other Property</v>
      </c>
      <c r="L1163" s="668">
        <v>132</v>
      </c>
      <c r="M1163" s="669">
        <v>123</v>
      </c>
      <c r="N1163" s="668"/>
      <c r="O1163" s="668">
        <v>13</v>
      </c>
      <c r="P1163" s="668" t="str">
        <f>IFERROR(VLOOKUP(F1163, [2]MOE!B:C, 2, FALSE), "No")</f>
        <v>No</v>
      </c>
      <c r="Q1163" s="711" t="s">
        <v>1546</v>
      </c>
      <c r="S1163" s="670" t="s">
        <v>1982</v>
      </c>
      <c r="T1163" s="668" t="s">
        <v>1059</v>
      </c>
    </row>
    <row r="1164" spans="1:20">
      <c r="A1164" s="671"/>
      <c r="B1164" s="677"/>
      <c r="C1164" s="672"/>
      <c r="D1164" s="672" t="s">
        <v>856</v>
      </c>
      <c r="E1164" s="676" t="s">
        <v>256</v>
      </c>
      <c r="F1164" s="675"/>
      <c r="G1164" s="672"/>
      <c r="H1164" s="676"/>
      <c r="Q1164" s="711"/>
      <c r="S1164" s="670"/>
    </row>
    <row r="1165" spans="1:20">
      <c r="A1165" s="679">
        <v>8952140</v>
      </c>
      <c r="B1165" s="677"/>
      <c r="C1165" s="672"/>
      <c r="D1165" s="672"/>
      <c r="E1165" s="676" t="s">
        <v>1155</v>
      </c>
      <c r="F1165" s="680" t="s">
        <v>2010</v>
      </c>
      <c r="G1165" s="710">
        <v>895</v>
      </c>
      <c r="H1165" s="682">
        <v>2140</v>
      </c>
      <c r="J1165" s="668" t="str">
        <f t="shared" ref="J1165:J1166" si="190">E1165</f>
        <v>(1) Miscellaneous Non-Public Expenditures</v>
      </c>
      <c r="L1165" s="668">
        <v>139</v>
      </c>
      <c r="M1165" s="669">
        <v>129</v>
      </c>
      <c r="N1165" s="668"/>
      <c r="O1165" s="668">
        <v>13</v>
      </c>
      <c r="P1165" s="668" t="str">
        <f>IFERROR(VLOOKUP(F1165, [2]MOE!B:C, 2, FALSE), "No")</f>
        <v>YES</v>
      </c>
      <c r="Q1165" s="711" t="s">
        <v>1546</v>
      </c>
      <c r="S1165" s="670" t="s">
        <v>1982</v>
      </c>
      <c r="T1165" s="668" t="s">
        <v>1061</v>
      </c>
    </row>
    <row r="1166" spans="1:20">
      <c r="A1166" s="679">
        <v>8002140</v>
      </c>
      <c r="B1166" s="719"/>
      <c r="C1166" s="681"/>
      <c r="D1166" s="681"/>
      <c r="E1166" s="686" t="s">
        <v>1157</v>
      </c>
      <c r="F1166" s="680" t="s">
        <v>2011</v>
      </c>
      <c r="G1166" s="710">
        <v>800</v>
      </c>
      <c r="H1166" s="682">
        <v>2140</v>
      </c>
      <c r="J1166" s="668" t="str">
        <f t="shared" si="190"/>
        <v>(2) Other Miscellaneous Expenditures</v>
      </c>
      <c r="L1166" s="668">
        <v>139</v>
      </c>
      <c r="M1166" s="669">
        <v>129</v>
      </c>
      <c r="N1166" s="668"/>
      <c r="O1166" s="668">
        <v>13</v>
      </c>
      <c r="P1166" s="668" t="str">
        <f>IFERROR(VLOOKUP(F1166, [2]MOE!B:C, 2, FALSE), "No")</f>
        <v>YES</v>
      </c>
      <c r="Q1166" s="711" t="s">
        <v>1546</v>
      </c>
      <c r="S1166" s="670" t="s">
        <v>1982</v>
      </c>
      <c r="T1166" s="668" t="s">
        <v>1063</v>
      </c>
    </row>
    <row r="1167" spans="1:20">
      <c r="A1167" s="671"/>
      <c r="B1167" s="677"/>
      <c r="C1167" s="672"/>
      <c r="D1167" s="672" t="s">
        <v>859</v>
      </c>
      <c r="E1167" s="676" t="s">
        <v>1065</v>
      </c>
      <c r="F1167" s="675"/>
      <c r="G1167" s="672"/>
      <c r="H1167" s="676"/>
      <c r="Q1167" s="711"/>
      <c r="S1167" s="670"/>
    </row>
    <row r="1168" spans="1:20">
      <c r="A1168" s="679">
        <v>2102140</v>
      </c>
      <c r="B1168" s="677"/>
      <c r="C1168" s="672"/>
      <c r="D1168" s="672"/>
      <c r="E1168" s="676" t="s">
        <v>1159</v>
      </c>
      <c r="F1168" s="680" t="s">
        <v>2012</v>
      </c>
      <c r="G1168" s="710">
        <v>210</v>
      </c>
      <c r="H1168" s="682">
        <v>2140</v>
      </c>
      <c r="J1168" s="668" t="str">
        <f t="shared" ref="J1168:J1170" si="191">E1168</f>
        <v>(1) Group Insurance</v>
      </c>
      <c r="L1168" s="668">
        <v>89</v>
      </c>
      <c r="M1168" s="669">
        <v>84</v>
      </c>
      <c r="N1168" s="668"/>
      <c r="O1168" s="668">
        <v>13</v>
      </c>
      <c r="P1168" s="668" t="str">
        <f>IFERROR(VLOOKUP(F1168, [2]MOE!B:C, 2, FALSE), "No")</f>
        <v>YES</v>
      </c>
      <c r="Q1168" s="711" t="s">
        <v>1546</v>
      </c>
      <c r="S1168" s="670" t="s">
        <v>1982</v>
      </c>
      <c r="T1168" s="668" t="s">
        <v>1066</v>
      </c>
    </row>
    <row r="1169" spans="1:20">
      <c r="A1169" s="679">
        <v>2202140</v>
      </c>
      <c r="B1169" s="677"/>
      <c r="C1169" s="672"/>
      <c r="D1169" s="672"/>
      <c r="E1169" s="676" t="s">
        <v>1161</v>
      </c>
      <c r="F1169" s="680" t="s">
        <v>2013</v>
      </c>
      <c r="G1169" s="710">
        <v>220</v>
      </c>
      <c r="H1169" s="682">
        <v>2140</v>
      </c>
      <c r="J1169" s="668" t="str">
        <f t="shared" si="191"/>
        <v>(2) FICA</v>
      </c>
      <c r="L1169" s="668">
        <v>90</v>
      </c>
      <c r="M1169" s="669">
        <v>85</v>
      </c>
      <c r="N1169" s="668"/>
      <c r="O1169" s="668">
        <v>13</v>
      </c>
      <c r="P1169" s="668" t="str">
        <f>IFERROR(VLOOKUP(F1169, [2]MOE!B:C, 2, FALSE), "No")</f>
        <v>YES</v>
      </c>
      <c r="Q1169" s="711" t="s">
        <v>1546</v>
      </c>
      <c r="S1169" s="670" t="s">
        <v>1982</v>
      </c>
      <c r="T1169" s="668" t="s">
        <v>1068</v>
      </c>
    </row>
    <row r="1170" spans="1:20">
      <c r="A1170" s="679">
        <v>2252140</v>
      </c>
      <c r="B1170" s="677"/>
      <c r="C1170" s="672"/>
      <c r="D1170" s="672"/>
      <c r="E1170" s="676" t="s">
        <v>1163</v>
      </c>
      <c r="F1170" s="680" t="s">
        <v>2014</v>
      </c>
      <c r="G1170" s="710">
        <v>225</v>
      </c>
      <c r="H1170" s="682">
        <v>2140</v>
      </c>
      <c r="J1170" s="668" t="str">
        <f t="shared" si="191"/>
        <v>(3) Medicare</v>
      </c>
      <c r="L1170" s="668">
        <v>91</v>
      </c>
      <c r="M1170" s="669">
        <v>86</v>
      </c>
      <c r="N1170" s="668"/>
      <c r="O1170" s="668">
        <v>13</v>
      </c>
      <c r="P1170" s="668" t="str">
        <f>IFERROR(VLOOKUP(F1170, [2]MOE!B:C, 2, FALSE), "No")</f>
        <v>YES</v>
      </c>
      <c r="Q1170" s="711" t="s">
        <v>1546</v>
      </c>
      <c r="S1170" s="670" t="s">
        <v>1982</v>
      </c>
      <c r="T1170" s="668" t="s">
        <v>23</v>
      </c>
    </row>
    <row r="1171" spans="1:20">
      <c r="A1171" s="671"/>
      <c r="B1171" s="677"/>
      <c r="C1171" s="672"/>
      <c r="D1171" s="672"/>
      <c r="E1171" s="676" t="s">
        <v>1165</v>
      </c>
      <c r="F1171" s="675"/>
      <c r="G1171" s="672"/>
      <c r="H1171" s="676"/>
      <c r="Q1171" s="711"/>
      <c r="S1171" s="670"/>
    </row>
    <row r="1172" spans="1:20">
      <c r="A1172" s="679">
        <v>2312140</v>
      </c>
      <c r="B1172" s="677"/>
      <c r="C1172" s="672"/>
      <c r="D1172" s="672"/>
      <c r="E1172" s="676" t="s">
        <v>1166</v>
      </c>
      <c r="F1172" s="680" t="s">
        <v>2015</v>
      </c>
      <c r="G1172" s="710">
        <v>231</v>
      </c>
      <c r="H1172" s="682">
        <v>2140</v>
      </c>
      <c r="J1172" s="668" t="str">
        <f t="shared" ref="J1172:J1180" si="192">E1172</f>
        <v>(a) Louisiana Teachers Retirement</v>
      </c>
      <c r="L1172" s="668">
        <v>92</v>
      </c>
      <c r="M1172" s="669">
        <v>87</v>
      </c>
      <c r="N1172" s="668"/>
      <c r="O1172" s="668">
        <v>13</v>
      </c>
      <c r="P1172" s="668" t="str">
        <f>IFERROR(VLOOKUP(F1172, [2]MOE!B:C, 2, FALSE), "No")</f>
        <v>YES</v>
      </c>
      <c r="Q1172" s="711" t="s">
        <v>1546</v>
      </c>
      <c r="S1172" s="670" t="s">
        <v>1982</v>
      </c>
      <c r="T1172" s="668" t="s">
        <v>1074</v>
      </c>
    </row>
    <row r="1173" spans="1:20">
      <c r="A1173" s="679">
        <v>2332140</v>
      </c>
      <c r="B1173" s="677"/>
      <c r="C1173" s="672"/>
      <c r="D1173" s="672"/>
      <c r="E1173" s="676" t="s">
        <v>1168</v>
      </c>
      <c r="F1173" s="680" t="s">
        <v>2016</v>
      </c>
      <c r="G1173" s="710">
        <v>233</v>
      </c>
      <c r="H1173" s="682">
        <v>2140</v>
      </c>
      <c r="J1173" s="668" t="str">
        <f t="shared" si="192"/>
        <v>(b) Louisiana School Emp. Retirement</v>
      </c>
      <c r="L1173" s="668">
        <v>92</v>
      </c>
      <c r="M1173" s="669">
        <v>87</v>
      </c>
      <c r="N1173" s="668"/>
      <c r="O1173" s="668">
        <v>13</v>
      </c>
      <c r="P1173" s="668" t="str">
        <f>IFERROR(VLOOKUP(F1173, [2]MOE!B:C, 2, FALSE), "No")</f>
        <v>YES</v>
      </c>
      <c r="Q1173" s="711" t="s">
        <v>1546</v>
      </c>
      <c r="S1173" s="670" t="s">
        <v>1982</v>
      </c>
      <c r="T1173" s="668" t="s">
        <v>1170</v>
      </c>
    </row>
    <row r="1174" spans="1:20">
      <c r="A1174" s="679">
        <v>2392140</v>
      </c>
      <c r="B1174" s="677"/>
      <c r="C1174" s="672"/>
      <c r="D1174" s="672"/>
      <c r="E1174" s="676" t="s">
        <v>1171</v>
      </c>
      <c r="F1174" s="680" t="s">
        <v>2017</v>
      </c>
      <c r="G1174" s="710">
        <v>239</v>
      </c>
      <c r="H1174" s="682">
        <v>2140</v>
      </c>
      <c r="J1174" s="668" t="str">
        <f t="shared" si="192"/>
        <v>(c) Other Retirement</v>
      </c>
      <c r="L1174" s="668">
        <v>92</v>
      </c>
      <c r="M1174" s="669">
        <v>87</v>
      </c>
      <c r="N1174" s="668"/>
      <c r="O1174" s="668">
        <v>13</v>
      </c>
      <c r="P1174" s="668" t="str">
        <f>IFERROR(VLOOKUP(F1174, [2]MOE!B:C, 2, FALSE), "No")</f>
        <v>YES</v>
      </c>
      <c r="Q1174" s="711" t="s">
        <v>1546</v>
      </c>
      <c r="S1174" s="670" t="s">
        <v>1982</v>
      </c>
      <c r="T1174" s="668" t="s">
        <v>1080</v>
      </c>
    </row>
    <row r="1175" spans="1:20">
      <c r="A1175" s="679">
        <v>2502140</v>
      </c>
      <c r="B1175" s="677"/>
      <c r="C1175" s="672"/>
      <c r="D1175" s="672"/>
      <c r="E1175" s="676" t="s">
        <v>1173</v>
      </c>
      <c r="F1175" s="680" t="s">
        <v>2018</v>
      </c>
      <c r="G1175" s="710">
        <v>250</v>
      </c>
      <c r="H1175" s="682">
        <v>2140</v>
      </c>
      <c r="J1175" s="668" t="str">
        <f t="shared" si="192"/>
        <v>(5) Unemployment Compensation</v>
      </c>
      <c r="L1175" s="668">
        <v>93</v>
      </c>
      <c r="M1175" s="669">
        <v>88</v>
      </c>
      <c r="N1175" s="668"/>
      <c r="O1175" s="668">
        <v>13</v>
      </c>
      <c r="P1175" s="668" t="str">
        <f>IFERROR(VLOOKUP(F1175, [2]MOE!B:C, 2, FALSE), "No")</f>
        <v>YES</v>
      </c>
      <c r="Q1175" s="711" t="s">
        <v>1546</v>
      </c>
      <c r="S1175" s="670" t="s">
        <v>1982</v>
      </c>
      <c r="T1175" s="668" t="s">
        <v>1081</v>
      </c>
    </row>
    <row r="1176" spans="1:20">
      <c r="A1176" s="679">
        <v>2602140</v>
      </c>
      <c r="B1176" s="677"/>
      <c r="C1176" s="672"/>
      <c r="D1176" s="672"/>
      <c r="E1176" s="676" t="s">
        <v>1175</v>
      </c>
      <c r="F1176" s="680" t="s">
        <v>2019</v>
      </c>
      <c r="G1176" s="710">
        <v>260</v>
      </c>
      <c r="H1176" s="682">
        <v>2140</v>
      </c>
      <c r="J1176" s="668" t="str">
        <f t="shared" si="192"/>
        <v>(6) Workmen's Compensation</v>
      </c>
      <c r="L1176" s="668">
        <v>95</v>
      </c>
      <c r="M1176" s="669">
        <v>90</v>
      </c>
      <c r="N1176" s="668"/>
      <c r="O1176" s="668">
        <v>13</v>
      </c>
      <c r="P1176" s="668" t="str">
        <f>IFERROR(VLOOKUP(F1176, [2]MOE!B:C, 2, FALSE), "No")</f>
        <v>YES</v>
      </c>
      <c r="Q1176" s="711" t="s">
        <v>1546</v>
      </c>
      <c r="S1176" s="670" t="s">
        <v>1982</v>
      </c>
      <c r="T1176" s="668" t="s">
        <v>1083</v>
      </c>
    </row>
    <row r="1177" spans="1:20">
      <c r="A1177" s="679">
        <v>2702140</v>
      </c>
      <c r="B1177" s="677"/>
      <c r="C1177" s="672"/>
      <c r="D1177" s="672"/>
      <c r="E1177" s="676" t="s">
        <v>1177</v>
      </c>
      <c r="F1177" s="680" t="s">
        <v>2020</v>
      </c>
      <c r="G1177" s="710">
        <v>270</v>
      </c>
      <c r="H1177" s="682">
        <v>2140</v>
      </c>
      <c r="J1177" s="668" t="str">
        <f t="shared" si="192"/>
        <v>(7) Health Benefits (retirees)</v>
      </c>
      <c r="L1177" s="668">
        <v>94</v>
      </c>
      <c r="M1177" s="669">
        <v>89</v>
      </c>
      <c r="N1177" s="668"/>
      <c r="O1177" s="668">
        <v>13</v>
      </c>
      <c r="P1177" s="668" t="str">
        <f>IFERROR(VLOOKUP(F1177, [2]MOE!B:C, 2, FALSE), "No")</f>
        <v>YES</v>
      </c>
      <c r="Q1177" s="711" t="s">
        <v>1546</v>
      </c>
      <c r="S1177" s="670" t="s">
        <v>1982</v>
      </c>
      <c r="T1177" s="668" t="s">
        <v>1085</v>
      </c>
    </row>
    <row r="1178" spans="1:20">
      <c r="A1178" s="679">
        <v>2812140</v>
      </c>
      <c r="B1178" s="677"/>
      <c r="C1178" s="672"/>
      <c r="D1178" s="672"/>
      <c r="E1178" s="676" t="s">
        <v>1179</v>
      </c>
      <c r="F1178" s="680" t="s">
        <v>2021</v>
      </c>
      <c r="G1178" s="710">
        <v>281</v>
      </c>
      <c r="H1178" s="682">
        <v>2140</v>
      </c>
      <c r="J1178" s="668" t="str">
        <f t="shared" si="192"/>
        <v>(8) Sick Leave Severance Pay</v>
      </c>
      <c r="L1178" s="668">
        <v>95</v>
      </c>
      <c r="M1178" s="669">
        <v>90</v>
      </c>
      <c r="N1178" s="668"/>
      <c r="O1178" s="668">
        <v>13</v>
      </c>
      <c r="P1178" s="668" t="str">
        <f>IFERROR(VLOOKUP(F1178, [2]MOE!B:C, 2, FALSE), "No")</f>
        <v>YES</v>
      </c>
      <c r="Q1178" s="711" t="s">
        <v>1546</v>
      </c>
      <c r="S1178" s="670" t="s">
        <v>1982</v>
      </c>
      <c r="T1178" s="668" t="s">
        <v>1087</v>
      </c>
    </row>
    <row r="1179" spans="1:20">
      <c r="A1179" s="679">
        <v>2822140</v>
      </c>
      <c r="B1179" s="677"/>
      <c r="C1179" s="672"/>
      <c r="D1179" s="672"/>
      <c r="E1179" s="676" t="s">
        <v>1181</v>
      </c>
      <c r="F1179" s="680" t="s">
        <v>2022</v>
      </c>
      <c r="G1179" s="710">
        <v>282</v>
      </c>
      <c r="H1179" s="682">
        <v>2140</v>
      </c>
      <c r="J1179" s="668" t="str">
        <f t="shared" si="192"/>
        <v>(9) Annual Leave Severance Pay</v>
      </c>
      <c r="L1179" s="668">
        <v>95</v>
      </c>
      <c r="M1179" s="669">
        <v>90</v>
      </c>
      <c r="N1179" s="668"/>
      <c r="O1179" s="668">
        <v>13</v>
      </c>
      <c r="P1179" s="668" t="str">
        <f>IFERROR(VLOOKUP(F1179, [2]MOE!B:C, 2, FALSE), "No")</f>
        <v>YES</v>
      </c>
      <c r="Q1179" s="711" t="s">
        <v>1546</v>
      </c>
      <c r="S1179" s="670" t="s">
        <v>1982</v>
      </c>
      <c r="T1179" s="668" t="s">
        <v>1089</v>
      </c>
    </row>
    <row r="1180" spans="1:20">
      <c r="A1180" s="679">
        <v>2902140</v>
      </c>
      <c r="B1180" s="677"/>
      <c r="C1180" s="672"/>
      <c r="D1180" s="672"/>
      <c r="E1180" s="676" t="s">
        <v>1183</v>
      </c>
      <c r="F1180" s="680" t="s">
        <v>2023</v>
      </c>
      <c r="G1180" s="710">
        <v>290</v>
      </c>
      <c r="H1180" s="682">
        <v>2140</v>
      </c>
      <c r="J1180" s="668" t="str">
        <f t="shared" si="192"/>
        <v>(10) Other Employee Benefits</v>
      </c>
      <c r="L1180" s="668">
        <v>95</v>
      </c>
      <c r="M1180" s="669">
        <v>90</v>
      </c>
      <c r="N1180" s="668"/>
      <c r="O1180" s="668">
        <v>13</v>
      </c>
      <c r="P1180" s="668" t="str">
        <f>IFERROR(VLOOKUP(F1180, [2]MOE!B:C, 2, FALSE), "No")</f>
        <v>YES</v>
      </c>
      <c r="Q1180" s="711" t="s">
        <v>1546</v>
      </c>
      <c r="S1180" s="670" t="s">
        <v>1982</v>
      </c>
      <c r="T1180" s="668" t="s">
        <v>1092</v>
      </c>
    </row>
    <row r="1181" spans="1:20">
      <c r="A1181" s="671"/>
      <c r="B1181" s="677"/>
      <c r="C1181" s="678">
        <v>51</v>
      </c>
      <c r="D1181" s="925" t="s">
        <v>2024</v>
      </c>
      <c r="E1181" s="926"/>
      <c r="F1181" s="675"/>
      <c r="G1181" s="672"/>
      <c r="H1181" s="676"/>
      <c r="Q1181" s="711"/>
      <c r="S1181" s="670"/>
    </row>
    <row r="1182" spans="1:20">
      <c r="A1182" s="671"/>
      <c r="B1182" s="677"/>
      <c r="C1182" s="672"/>
      <c r="D1182" s="925" t="s">
        <v>2025</v>
      </c>
      <c r="E1182" s="926"/>
      <c r="F1182" s="675"/>
      <c r="G1182" s="672"/>
      <c r="H1182" s="676"/>
      <c r="Q1182" s="711"/>
      <c r="S1182" s="670"/>
    </row>
    <row r="1183" spans="1:20">
      <c r="A1183" s="679">
        <v>1112151</v>
      </c>
      <c r="B1183" s="677"/>
      <c r="C1183" s="672"/>
      <c r="D1183" s="672"/>
      <c r="E1183" s="676" t="s">
        <v>1845</v>
      </c>
      <c r="F1183" s="680" t="s">
        <v>2026</v>
      </c>
      <c r="G1183" s="710">
        <v>111</v>
      </c>
      <c r="H1183" s="682">
        <v>2151</v>
      </c>
      <c r="J1183" s="668" t="str">
        <f t="shared" ref="J1183:J1185" si="193">E1183</f>
        <v>(1) Supervisors</v>
      </c>
      <c r="L1183" s="668">
        <v>81</v>
      </c>
      <c r="M1183" s="669">
        <v>76</v>
      </c>
      <c r="N1183" s="668"/>
      <c r="O1183" s="668">
        <v>13</v>
      </c>
      <c r="P1183" s="668" t="str">
        <f>IFERROR(VLOOKUP(F1183, [2]MOE!B:C, 2, FALSE), "No")</f>
        <v>YES</v>
      </c>
      <c r="Q1183" s="711" t="s">
        <v>1004</v>
      </c>
      <c r="S1183" s="670" t="s">
        <v>2027</v>
      </c>
      <c r="T1183" s="668" t="s">
        <v>1848</v>
      </c>
    </row>
    <row r="1184" spans="1:20">
      <c r="A1184" s="679">
        <v>1132152</v>
      </c>
      <c r="B1184" s="677"/>
      <c r="C1184" s="672"/>
      <c r="D1184" s="672"/>
      <c r="E1184" s="676" t="s">
        <v>2028</v>
      </c>
      <c r="F1184" s="680" t="s">
        <v>2029</v>
      </c>
      <c r="G1184" s="710">
        <v>113</v>
      </c>
      <c r="H1184" s="682">
        <v>2152</v>
      </c>
      <c r="J1184" s="668" t="str">
        <f t="shared" si="193"/>
        <v>(2) Speech Therapists (Speech Impaired)</v>
      </c>
      <c r="L1184" s="668">
        <v>83</v>
      </c>
      <c r="M1184" s="669">
        <v>78</v>
      </c>
      <c r="N1184" s="668"/>
      <c r="O1184" s="668">
        <v>13</v>
      </c>
      <c r="P1184" s="668" t="str">
        <f>IFERROR(VLOOKUP(F1184, [2]MOE!B:C, 2, FALSE), "No")</f>
        <v>YES</v>
      </c>
      <c r="Q1184" s="711" t="s">
        <v>1004</v>
      </c>
      <c r="S1184" s="670" t="s">
        <v>2027</v>
      </c>
      <c r="T1184" s="668" t="s">
        <v>2030</v>
      </c>
    </row>
    <row r="1185" spans="1:20">
      <c r="A1185" s="679">
        <v>1132153</v>
      </c>
      <c r="B1185" s="677"/>
      <c r="C1185" s="672"/>
      <c r="D1185" s="672"/>
      <c r="E1185" s="676" t="s">
        <v>2031</v>
      </c>
      <c r="F1185" s="680" t="s">
        <v>2032</v>
      </c>
      <c r="G1185" s="710">
        <v>113</v>
      </c>
      <c r="H1185" s="682">
        <v>2153</v>
      </c>
      <c r="J1185" s="668" t="str">
        <f t="shared" si="193"/>
        <v>(3) Audio Therapists (Hearing Impaired)</v>
      </c>
      <c r="L1185" s="668">
        <v>83</v>
      </c>
      <c r="M1185" s="669">
        <v>78</v>
      </c>
      <c r="N1185" s="668"/>
      <c r="O1185" s="668">
        <v>13</v>
      </c>
      <c r="P1185" s="668" t="str">
        <f>IFERROR(VLOOKUP(F1185, [2]MOE!B:C, 2, FALSE), "No")</f>
        <v>YES</v>
      </c>
      <c r="Q1185" s="711" t="s">
        <v>1004</v>
      </c>
      <c r="S1185" s="670" t="s">
        <v>2027</v>
      </c>
      <c r="T1185" s="668" t="s">
        <v>2033</v>
      </c>
    </row>
    <row r="1186" spans="1:20">
      <c r="A1186" s="671"/>
      <c r="B1186" s="677"/>
      <c r="C1186" s="672"/>
      <c r="D1186" s="672"/>
      <c r="E1186" s="676" t="s">
        <v>2034</v>
      </c>
      <c r="F1186" s="675"/>
      <c r="G1186" s="672"/>
      <c r="H1186" s="676"/>
      <c r="Q1186" s="711"/>
      <c r="S1186" s="670"/>
    </row>
    <row r="1187" spans="1:20">
      <c r="A1187" s="679">
        <v>1132150</v>
      </c>
      <c r="B1187" s="677"/>
      <c r="C1187" s="672"/>
      <c r="D1187" s="672"/>
      <c r="E1187" s="676" t="s">
        <v>2035</v>
      </c>
      <c r="F1187" s="680" t="s">
        <v>2036</v>
      </c>
      <c r="G1187" s="710">
        <v>113</v>
      </c>
      <c r="H1187" s="682">
        <v>2150</v>
      </c>
      <c r="J1187" s="668" t="str">
        <f t="shared" ref="J1187:J1192" si="194">E1187</f>
        <v>Pathology &amp; Audiology Services</v>
      </c>
      <c r="L1187" s="668">
        <v>83</v>
      </c>
      <c r="M1187" s="669">
        <v>78</v>
      </c>
      <c r="N1187" s="668"/>
      <c r="O1187" s="668">
        <v>13</v>
      </c>
      <c r="P1187" s="668" t="str">
        <f>IFERROR(VLOOKUP(F1187, [2]MOE!B:C, 2, FALSE), "No")</f>
        <v>YES</v>
      </c>
      <c r="Q1187" s="711" t="s">
        <v>1004</v>
      </c>
      <c r="S1187" s="670" t="s">
        <v>2027</v>
      </c>
      <c r="T1187" s="668" t="s">
        <v>2035</v>
      </c>
    </row>
    <row r="1188" spans="1:20">
      <c r="A1188" s="679">
        <v>1192154</v>
      </c>
      <c r="B1188" s="677"/>
      <c r="C1188" s="672"/>
      <c r="D1188" s="672"/>
      <c r="E1188" s="676" t="s">
        <v>2037</v>
      </c>
      <c r="F1188" s="680" t="s">
        <v>2038</v>
      </c>
      <c r="G1188" s="710">
        <v>119</v>
      </c>
      <c r="H1188" s="682">
        <v>2154</v>
      </c>
      <c r="J1188" s="668" t="str">
        <f t="shared" si="194"/>
        <v>(5) Educ. Interpr./Sign Language Interpr.</v>
      </c>
      <c r="L1188" s="668">
        <v>86</v>
      </c>
      <c r="M1188" s="669">
        <v>81</v>
      </c>
      <c r="N1188" s="668"/>
      <c r="O1188" s="668">
        <v>13</v>
      </c>
      <c r="P1188" s="668" t="str">
        <f>IFERROR(VLOOKUP(F1188, [2]MOE!B:C, 2, FALSE), "No")</f>
        <v>YES</v>
      </c>
      <c r="Q1188" s="711" t="s">
        <v>1004</v>
      </c>
      <c r="S1188" s="670" t="s">
        <v>2027</v>
      </c>
      <c r="T1188" s="668" t="s">
        <v>2039</v>
      </c>
    </row>
    <row r="1189" spans="1:20">
      <c r="A1189" s="679">
        <v>1142150</v>
      </c>
      <c r="B1189" s="677"/>
      <c r="C1189" s="672"/>
      <c r="D1189" s="672"/>
      <c r="E1189" s="676" t="s">
        <v>2040</v>
      </c>
      <c r="F1189" s="680" t="s">
        <v>2041</v>
      </c>
      <c r="G1189" s="710">
        <v>114</v>
      </c>
      <c r="H1189" s="682">
        <v>2150</v>
      </c>
      <c r="J1189" s="668" t="str">
        <f t="shared" si="194"/>
        <v>(6) Clerical/Secretarial</v>
      </c>
      <c r="L1189" s="668">
        <v>84</v>
      </c>
      <c r="M1189" s="669">
        <v>79</v>
      </c>
      <c r="N1189" s="668"/>
      <c r="O1189" s="668">
        <v>13</v>
      </c>
      <c r="P1189" s="668" t="str">
        <f>IFERROR(VLOOKUP(F1189, [2]MOE!B:C, 2, FALSE), "No")</f>
        <v>YES</v>
      </c>
      <c r="Q1189" s="711" t="s">
        <v>1004</v>
      </c>
      <c r="S1189" s="670" t="s">
        <v>2027</v>
      </c>
      <c r="T1189" s="668" t="s">
        <v>1854</v>
      </c>
    </row>
    <row r="1190" spans="1:20">
      <c r="A1190" s="679">
        <v>1002150</v>
      </c>
      <c r="B1190" s="677"/>
      <c r="C1190" s="672"/>
      <c r="D1190" s="672"/>
      <c r="E1190" s="676" t="s">
        <v>2042</v>
      </c>
      <c r="F1190" s="680" t="s">
        <v>2043</v>
      </c>
      <c r="G1190" s="710">
        <v>100</v>
      </c>
      <c r="H1190" s="682">
        <v>2150</v>
      </c>
      <c r="J1190" s="668" t="str">
        <f t="shared" si="194"/>
        <v>(7) Other Salaries - Speech Path &amp; Audio</v>
      </c>
      <c r="L1190" s="668">
        <v>86</v>
      </c>
      <c r="M1190" s="669">
        <v>81</v>
      </c>
      <c r="N1190" s="668"/>
      <c r="O1190" s="668">
        <v>13</v>
      </c>
      <c r="P1190" s="668" t="str">
        <f>IFERROR(VLOOKUP(F1190, [2]MOE!B:C, 2, FALSE), "No")</f>
        <v>YES</v>
      </c>
      <c r="Q1190" s="711" t="s">
        <v>1004</v>
      </c>
      <c r="S1190" s="670" t="s">
        <v>2027</v>
      </c>
      <c r="T1190" s="668" t="s">
        <v>2044</v>
      </c>
    </row>
    <row r="1191" spans="1:20">
      <c r="A1191" s="679">
        <v>1402150</v>
      </c>
      <c r="B1191" s="677"/>
      <c r="C1191" s="672"/>
      <c r="D1191" s="672"/>
      <c r="E1191" s="676" t="s">
        <v>1948</v>
      </c>
      <c r="F1191" s="680" t="s">
        <v>2045</v>
      </c>
      <c r="G1191" s="710">
        <v>140</v>
      </c>
      <c r="H1191" s="682">
        <v>2150</v>
      </c>
      <c r="J1191" s="668" t="str">
        <f t="shared" si="194"/>
        <v>(8) Sabbatical Leave</v>
      </c>
      <c r="L1191" s="668">
        <v>86</v>
      </c>
      <c r="M1191" s="669">
        <v>81</v>
      </c>
      <c r="N1191" s="668"/>
      <c r="O1191" s="668">
        <v>13</v>
      </c>
      <c r="P1191" s="668" t="str">
        <f>IFERROR(VLOOKUP(F1191, [2]MOE!B:C, 2, FALSE), "No")</f>
        <v>YES</v>
      </c>
      <c r="Q1191" s="711" t="s">
        <v>1004</v>
      </c>
      <c r="S1191" s="670" t="s">
        <v>2027</v>
      </c>
      <c r="T1191" s="668" t="s">
        <v>1019</v>
      </c>
    </row>
    <row r="1192" spans="1:20">
      <c r="A1192" s="679">
        <v>3002150</v>
      </c>
      <c r="B1192" s="677"/>
      <c r="C1192" s="672"/>
      <c r="D1192" s="672" t="s">
        <v>777</v>
      </c>
      <c r="E1192" s="676" t="s">
        <v>1113</v>
      </c>
      <c r="F1192" s="680" t="s">
        <v>2046</v>
      </c>
      <c r="G1192" s="710">
        <v>300</v>
      </c>
      <c r="H1192" s="682">
        <v>2150</v>
      </c>
      <c r="J1192" s="668" t="str">
        <f t="shared" si="194"/>
        <v>Purchased Professional and Technical Svcs</v>
      </c>
      <c r="L1192" s="668">
        <v>101</v>
      </c>
      <c r="M1192" s="669">
        <v>96</v>
      </c>
      <c r="N1192" s="668"/>
      <c r="O1192" s="668">
        <v>13</v>
      </c>
      <c r="P1192" s="668" t="str">
        <f>IFERROR(VLOOKUP(F1192, [2]MOE!B:C, 2, FALSE), "No")</f>
        <v>YES</v>
      </c>
      <c r="Q1192" s="711"/>
      <c r="S1192" s="670" t="s">
        <v>2027</v>
      </c>
      <c r="T1192" s="668" t="s">
        <v>1113</v>
      </c>
    </row>
    <row r="1193" spans="1:20">
      <c r="A1193" s="671"/>
      <c r="B1193" s="677"/>
      <c r="C1193" s="672"/>
      <c r="D1193" s="672" t="s">
        <v>801</v>
      </c>
      <c r="E1193" s="676" t="s">
        <v>250</v>
      </c>
      <c r="F1193" s="675"/>
      <c r="G1193" s="672"/>
      <c r="H1193" s="676"/>
      <c r="Q1193" s="711"/>
      <c r="S1193" s="670"/>
    </row>
    <row r="1194" spans="1:20">
      <c r="A1194" s="679">
        <v>4302150</v>
      </c>
      <c r="B1194" s="677"/>
      <c r="C1194" s="672"/>
      <c r="D1194" s="672"/>
      <c r="E1194" s="676" t="s">
        <v>1115</v>
      </c>
      <c r="F1194" s="680" t="s">
        <v>2047</v>
      </c>
      <c r="G1194" s="710">
        <v>430</v>
      </c>
      <c r="H1194" s="682">
        <v>2150</v>
      </c>
      <c r="J1194" s="668" t="str">
        <f t="shared" ref="J1194:J1196" si="195">E1194</f>
        <v>(1) Repairs and Maintenance Services</v>
      </c>
      <c r="L1194" s="668">
        <v>107</v>
      </c>
      <c r="M1194" s="669">
        <v>102</v>
      </c>
      <c r="N1194" s="668"/>
      <c r="O1194" s="668">
        <v>13</v>
      </c>
      <c r="P1194" s="668" t="str">
        <f>IFERROR(VLOOKUP(F1194, [2]MOE!B:C, 2, FALSE), "No")</f>
        <v>YES</v>
      </c>
      <c r="Q1194" s="711"/>
      <c r="S1194" s="670" t="s">
        <v>2027</v>
      </c>
      <c r="T1194" s="668" t="s">
        <v>1023</v>
      </c>
    </row>
    <row r="1195" spans="1:20">
      <c r="A1195" s="679">
        <v>4422150</v>
      </c>
      <c r="B1195" s="677"/>
      <c r="C1195" s="672"/>
      <c r="D1195" s="672"/>
      <c r="E1195" s="676" t="s">
        <v>1117</v>
      </c>
      <c r="F1195" s="680" t="s">
        <v>2048</v>
      </c>
      <c r="G1195" s="710">
        <v>442</v>
      </c>
      <c r="H1195" s="682">
        <v>2150</v>
      </c>
      <c r="J1195" s="668" t="str">
        <f t="shared" si="195"/>
        <v>(2) Rental of Equipment</v>
      </c>
      <c r="L1195" s="668">
        <v>106</v>
      </c>
      <c r="M1195" s="669">
        <v>101</v>
      </c>
      <c r="N1195" s="668"/>
      <c r="O1195" s="668">
        <v>13</v>
      </c>
      <c r="P1195" s="668" t="str">
        <f>IFERROR(VLOOKUP(F1195, [2]MOE!B:C, 2, FALSE), "No")</f>
        <v>YES</v>
      </c>
      <c r="Q1195" s="711"/>
      <c r="S1195" s="670" t="s">
        <v>2027</v>
      </c>
      <c r="T1195" s="668" t="s">
        <v>1025</v>
      </c>
    </row>
    <row r="1196" spans="1:20">
      <c r="A1196" s="679">
        <v>4002150</v>
      </c>
      <c r="B1196" s="677"/>
      <c r="C1196" s="672"/>
      <c r="D1196" s="672"/>
      <c r="E1196" s="676" t="s">
        <v>1119</v>
      </c>
      <c r="F1196" s="680" t="s">
        <v>2049</v>
      </c>
      <c r="G1196" s="710">
        <v>400</v>
      </c>
      <c r="H1196" s="682">
        <v>2150</v>
      </c>
      <c r="J1196" s="668" t="str">
        <f t="shared" si="195"/>
        <v>(3) Other Purchased Property Services</v>
      </c>
      <c r="L1196" s="668">
        <v>108</v>
      </c>
      <c r="M1196" s="669">
        <v>103</v>
      </c>
      <c r="N1196" s="668"/>
      <c r="O1196" s="668">
        <v>13</v>
      </c>
      <c r="P1196" s="668" t="str">
        <f>IFERROR(VLOOKUP(F1196, [2]MOE!B:C, 2, FALSE), "No")</f>
        <v>YES</v>
      </c>
      <c r="Q1196" s="711"/>
      <c r="S1196" s="670" t="s">
        <v>2027</v>
      </c>
      <c r="T1196" s="668" t="s">
        <v>1027</v>
      </c>
    </row>
    <row r="1197" spans="1:20">
      <c r="A1197" s="671"/>
      <c r="B1197" s="677"/>
      <c r="C1197" s="672"/>
      <c r="D1197" s="672" t="s">
        <v>805</v>
      </c>
      <c r="E1197" s="676" t="s">
        <v>252</v>
      </c>
      <c r="F1197" s="675"/>
      <c r="G1197" s="672"/>
      <c r="H1197" s="676"/>
      <c r="Q1197" s="711"/>
      <c r="S1197" s="670"/>
    </row>
    <row r="1198" spans="1:20">
      <c r="A1198" s="679">
        <v>5822150</v>
      </c>
      <c r="B1198" s="677"/>
      <c r="C1198" s="672"/>
      <c r="D1198" s="672"/>
      <c r="E1198" s="676" t="s">
        <v>1864</v>
      </c>
      <c r="F1198" s="683" t="s">
        <v>2050</v>
      </c>
      <c r="G1198" s="678">
        <v>582</v>
      </c>
      <c r="H1198" s="684">
        <v>2150</v>
      </c>
      <c r="J1198" s="668" t="str">
        <f t="shared" ref="J1198:J1199" si="196">E1198</f>
        <v>(1) Travel Expense Reimbursement</v>
      </c>
      <c r="L1198" s="668">
        <v>118</v>
      </c>
      <c r="M1198" s="669">
        <v>109</v>
      </c>
      <c r="N1198" s="668"/>
      <c r="O1198" s="668">
        <v>13</v>
      </c>
      <c r="P1198" s="668" t="str">
        <f>IFERROR(VLOOKUP(F1198, [2]MOE!B:C, 2, FALSE), "No")</f>
        <v>YES</v>
      </c>
      <c r="Q1198" s="711"/>
      <c r="S1198" s="670" t="s">
        <v>2027</v>
      </c>
      <c r="T1198" s="668" t="s">
        <v>1039</v>
      </c>
    </row>
    <row r="1199" spans="1:20">
      <c r="A1199" s="679">
        <v>5002150</v>
      </c>
      <c r="B1199" s="677"/>
      <c r="C1199" s="672"/>
      <c r="D1199" s="672"/>
      <c r="E1199" s="676" t="s">
        <v>1866</v>
      </c>
      <c r="F1199" s="683" t="s">
        <v>2051</v>
      </c>
      <c r="G1199" s="678">
        <v>500</v>
      </c>
      <c r="H1199" s="684">
        <v>2150</v>
      </c>
      <c r="J1199" s="668" t="str">
        <f t="shared" si="196"/>
        <v>(2) Other Purchased Services</v>
      </c>
      <c r="L1199" s="668">
        <v>119</v>
      </c>
      <c r="M1199" s="669">
        <v>110</v>
      </c>
      <c r="N1199" s="668"/>
      <c r="O1199" s="668">
        <v>13</v>
      </c>
      <c r="P1199" s="668" t="str">
        <f>IFERROR(VLOOKUP(F1199, [2]MOE!B:C, 2, FALSE), "No")</f>
        <v>YES</v>
      </c>
      <c r="Q1199" s="711"/>
      <c r="S1199" s="670" t="s">
        <v>2027</v>
      </c>
      <c r="T1199" s="668" t="s">
        <v>252</v>
      </c>
    </row>
    <row r="1200" spans="1:20">
      <c r="A1200" s="671"/>
      <c r="B1200" s="677"/>
      <c r="C1200" s="672"/>
      <c r="D1200" s="672" t="s">
        <v>850</v>
      </c>
      <c r="E1200" s="676" t="s">
        <v>254</v>
      </c>
      <c r="F1200" s="675"/>
      <c r="G1200" s="672"/>
      <c r="H1200" s="676"/>
      <c r="Q1200" s="711"/>
      <c r="S1200" s="670"/>
    </row>
    <row r="1201" spans="1:20">
      <c r="A1201" s="679">
        <v>6152150</v>
      </c>
      <c r="B1201" s="677"/>
      <c r="C1201" s="672"/>
      <c r="D1201" s="672"/>
      <c r="E1201" s="676" t="s">
        <v>1139</v>
      </c>
      <c r="F1201" s="683" t="s">
        <v>2052</v>
      </c>
      <c r="G1201" s="678">
        <v>615</v>
      </c>
      <c r="H1201" s="684">
        <v>2150</v>
      </c>
      <c r="J1201" s="668" t="str">
        <f t="shared" ref="J1201:J1203" si="197">E1201</f>
        <v>(1) Technology-Related Supplies</v>
      </c>
      <c r="L1201" s="668">
        <v>126</v>
      </c>
      <c r="M1201" s="669">
        <v>117</v>
      </c>
      <c r="N1201" s="668"/>
      <c r="O1201" s="668">
        <v>13</v>
      </c>
      <c r="P1201" s="668" t="str">
        <f>IFERROR(VLOOKUP(F1201, [2]MOE!B:C, 2, FALSE), "No")</f>
        <v>YES</v>
      </c>
      <c r="Q1201" s="711" t="s">
        <v>1045</v>
      </c>
      <c r="S1201" s="670" t="s">
        <v>2027</v>
      </c>
      <c r="T1201" s="668" t="s">
        <v>1043</v>
      </c>
    </row>
    <row r="1202" spans="1:20">
      <c r="A1202" s="679">
        <v>6102150</v>
      </c>
      <c r="B1202" s="677"/>
      <c r="C1202" s="672"/>
      <c r="D1202" s="672"/>
      <c r="E1202" s="676" t="s">
        <v>1141</v>
      </c>
      <c r="F1202" s="683" t="s">
        <v>2053</v>
      </c>
      <c r="G1202" s="678">
        <v>610</v>
      </c>
      <c r="H1202" s="684">
        <v>2150</v>
      </c>
      <c r="J1202" s="668" t="str">
        <f t="shared" si="197"/>
        <v>(2) Materials and Supplies</v>
      </c>
      <c r="L1202" s="668">
        <v>122</v>
      </c>
      <c r="M1202" s="669">
        <v>113</v>
      </c>
      <c r="N1202" s="668"/>
      <c r="O1202" s="668">
        <v>13</v>
      </c>
      <c r="P1202" s="668" t="str">
        <f>IFERROR(VLOOKUP(F1202, [2]MOE!B:C, 2, FALSE), "No")</f>
        <v>YES</v>
      </c>
      <c r="Q1202" s="711" t="s">
        <v>1045</v>
      </c>
      <c r="S1202" s="670" t="s">
        <v>2027</v>
      </c>
      <c r="T1202" s="668" t="s">
        <v>39</v>
      </c>
    </row>
    <row r="1203" spans="1:20">
      <c r="A1203" s="679">
        <v>6002150</v>
      </c>
      <c r="B1203" s="677"/>
      <c r="C1203" s="672"/>
      <c r="D1203" s="672"/>
      <c r="E1203" s="676" t="s">
        <v>1870</v>
      </c>
      <c r="F1203" s="683" t="s">
        <v>2054</v>
      </c>
      <c r="G1203" s="678">
        <v>600</v>
      </c>
      <c r="H1203" s="684">
        <v>2150</v>
      </c>
      <c r="J1203" s="668" t="str">
        <f t="shared" si="197"/>
        <v>(3) Other Supplies</v>
      </c>
      <c r="L1203" s="668">
        <v>126</v>
      </c>
      <c r="M1203" s="669">
        <v>117</v>
      </c>
      <c r="N1203" s="668"/>
      <c r="O1203" s="668">
        <v>13</v>
      </c>
      <c r="P1203" s="668" t="str">
        <f>IFERROR(VLOOKUP(F1203, [2]MOE!B:C, 2, FALSE), "No")</f>
        <v>YES</v>
      </c>
      <c r="Q1203" s="711"/>
      <c r="S1203" s="670" t="s">
        <v>2027</v>
      </c>
      <c r="T1203" s="668" t="s">
        <v>1050</v>
      </c>
    </row>
    <row r="1204" spans="1:20">
      <c r="A1204" s="671"/>
      <c r="B1204" s="677"/>
      <c r="C1204" s="672"/>
      <c r="D1204" s="672" t="s">
        <v>853</v>
      </c>
      <c r="E1204" s="676" t="s">
        <v>1052</v>
      </c>
      <c r="F1204" s="675"/>
      <c r="G1204" s="672"/>
      <c r="H1204" s="676"/>
      <c r="Q1204" s="711"/>
      <c r="S1204" s="670"/>
    </row>
    <row r="1205" spans="1:20">
      <c r="A1205" s="679">
        <v>7342150</v>
      </c>
      <c r="B1205" s="677"/>
      <c r="C1205" s="672"/>
      <c r="D1205" s="672"/>
      <c r="E1205" s="676" t="s">
        <v>1147</v>
      </c>
      <c r="F1205" s="683" t="s">
        <v>2055</v>
      </c>
      <c r="G1205" s="678">
        <v>734</v>
      </c>
      <c r="H1205" s="684">
        <v>2150</v>
      </c>
      <c r="J1205" s="668" t="str">
        <f t="shared" ref="J1205:J1208" si="198">E1205</f>
        <v>(1) Technology-Related Hardware</v>
      </c>
      <c r="L1205" s="668">
        <v>131</v>
      </c>
      <c r="M1205" s="669">
        <v>122</v>
      </c>
      <c r="N1205" s="668"/>
      <c r="O1205" s="668">
        <v>13</v>
      </c>
      <c r="P1205" s="668" t="str">
        <f>IFERROR(VLOOKUP(F1205, [2]MOE!B:C, 2, FALSE), "No")</f>
        <v>No</v>
      </c>
      <c r="Q1205" s="711"/>
      <c r="S1205" s="670" t="s">
        <v>2027</v>
      </c>
      <c r="T1205" s="668" t="s">
        <v>1053</v>
      </c>
    </row>
    <row r="1206" spans="1:20">
      <c r="A1206" s="679">
        <v>7352150</v>
      </c>
      <c r="B1206" s="677"/>
      <c r="C1206" s="672"/>
      <c r="D1206" s="672"/>
      <c r="E1206" s="676" t="s">
        <v>1149</v>
      </c>
      <c r="F1206" s="683" t="s">
        <v>2056</v>
      </c>
      <c r="G1206" s="678">
        <v>735</v>
      </c>
      <c r="H1206" s="684">
        <v>2150</v>
      </c>
      <c r="J1206" s="668" t="str">
        <f t="shared" si="198"/>
        <v>(2) Technology Software</v>
      </c>
      <c r="L1206" s="668">
        <v>131</v>
      </c>
      <c r="M1206" s="669">
        <v>122</v>
      </c>
      <c r="N1206" s="668"/>
      <c r="O1206" s="668">
        <v>13</v>
      </c>
      <c r="P1206" s="668" t="str">
        <f>IFERROR(VLOOKUP(F1206, [2]MOE!B:C, 2, FALSE), "No")</f>
        <v>No</v>
      </c>
      <c r="Q1206" s="711"/>
      <c r="S1206" s="670" t="s">
        <v>2027</v>
      </c>
      <c r="T1206" s="668" t="s">
        <v>1055</v>
      </c>
    </row>
    <row r="1207" spans="1:20">
      <c r="A1207" s="679">
        <v>7302150</v>
      </c>
      <c r="B1207" s="677"/>
      <c r="C1207" s="672"/>
      <c r="D1207" s="672"/>
      <c r="E1207" s="676" t="s">
        <v>1151</v>
      </c>
      <c r="F1207" s="683" t="s">
        <v>2057</v>
      </c>
      <c r="G1207" s="678">
        <v>730</v>
      </c>
      <c r="H1207" s="684">
        <v>2150</v>
      </c>
      <c r="J1207" s="668" t="str">
        <f t="shared" si="198"/>
        <v>(3) All Other Equipment</v>
      </c>
      <c r="L1207" s="668">
        <v>131</v>
      </c>
      <c r="M1207" s="669">
        <v>122</v>
      </c>
      <c r="N1207" s="668"/>
      <c r="O1207" s="668">
        <v>13</v>
      </c>
      <c r="P1207" s="668" t="str">
        <f>IFERROR(VLOOKUP(F1207, [2]MOE!B:C, 2, FALSE), "No")</f>
        <v>No</v>
      </c>
      <c r="Q1207" s="711"/>
      <c r="S1207" s="670" t="s">
        <v>2027</v>
      </c>
      <c r="T1207" s="668" t="s">
        <v>1057</v>
      </c>
    </row>
    <row r="1208" spans="1:20">
      <c r="A1208" s="679">
        <v>7002150</v>
      </c>
      <c r="B1208" s="677"/>
      <c r="C1208" s="672"/>
      <c r="D1208" s="672"/>
      <c r="E1208" s="676" t="s">
        <v>1153</v>
      </c>
      <c r="F1208" s="683" t="s">
        <v>2058</v>
      </c>
      <c r="G1208" s="678">
        <v>700</v>
      </c>
      <c r="H1208" s="684">
        <v>2150</v>
      </c>
      <c r="J1208" s="668" t="str">
        <f t="shared" si="198"/>
        <v>(4) Other Property</v>
      </c>
      <c r="L1208" s="668">
        <v>132</v>
      </c>
      <c r="M1208" s="669">
        <v>123</v>
      </c>
      <c r="N1208" s="668"/>
      <c r="O1208" s="668">
        <v>13</v>
      </c>
      <c r="P1208" s="668" t="str">
        <f>IFERROR(VLOOKUP(F1208, [2]MOE!B:C, 2, FALSE), "No")</f>
        <v>No</v>
      </c>
      <c r="Q1208" s="711"/>
      <c r="S1208" s="670" t="s">
        <v>2027</v>
      </c>
      <c r="T1208" s="668" t="s">
        <v>1059</v>
      </c>
    </row>
    <row r="1209" spans="1:20">
      <c r="A1209" s="671"/>
      <c r="B1209" s="677"/>
      <c r="C1209" s="672"/>
      <c r="D1209" s="672" t="s">
        <v>856</v>
      </c>
      <c r="E1209" s="676" t="s">
        <v>256</v>
      </c>
      <c r="F1209" s="675"/>
      <c r="G1209" s="672"/>
      <c r="H1209" s="676"/>
      <c r="Q1209" s="711"/>
      <c r="S1209" s="670"/>
    </row>
    <row r="1210" spans="1:20">
      <c r="A1210" s="679">
        <v>8952150</v>
      </c>
      <c r="B1210" s="677"/>
      <c r="C1210" s="672"/>
      <c r="D1210" s="672"/>
      <c r="E1210" s="676" t="s">
        <v>1155</v>
      </c>
      <c r="F1210" s="683" t="s">
        <v>2059</v>
      </c>
      <c r="G1210" s="678">
        <v>895</v>
      </c>
      <c r="H1210" s="684">
        <v>2150</v>
      </c>
      <c r="J1210" s="668" t="str">
        <f t="shared" ref="J1210:J1211" si="199">E1210</f>
        <v>(1) Miscellaneous Non-Public Expenditures</v>
      </c>
      <c r="L1210" s="668">
        <v>139</v>
      </c>
      <c r="M1210" s="669">
        <v>129</v>
      </c>
      <c r="N1210" s="668"/>
      <c r="O1210" s="668">
        <v>13</v>
      </c>
      <c r="P1210" s="668" t="str">
        <f>IFERROR(VLOOKUP(F1210, [2]MOE!B:C, 2, FALSE), "No")</f>
        <v>YES</v>
      </c>
      <c r="Q1210" s="711"/>
      <c r="S1210" s="670" t="s">
        <v>2027</v>
      </c>
      <c r="T1210" s="668" t="s">
        <v>1061</v>
      </c>
    </row>
    <row r="1211" spans="1:20">
      <c r="A1211" s="679">
        <v>8002150</v>
      </c>
      <c r="B1211" s="677"/>
      <c r="C1211" s="672"/>
      <c r="D1211" s="672"/>
      <c r="E1211" s="676" t="s">
        <v>1157</v>
      </c>
      <c r="F1211" s="683" t="s">
        <v>2060</v>
      </c>
      <c r="G1211" s="678">
        <v>800</v>
      </c>
      <c r="H1211" s="684">
        <v>2150</v>
      </c>
      <c r="J1211" s="668" t="str">
        <f t="shared" si="199"/>
        <v>(2) Other Miscellaneous Expenditures</v>
      </c>
      <c r="L1211" s="668">
        <v>139</v>
      </c>
      <c r="M1211" s="669">
        <v>129</v>
      </c>
      <c r="N1211" s="668"/>
      <c r="O1211" s="668">
        <v>13</v>
      </c>
      <c r="P1211" s="668" t="str">
        <f>IFERROR(VLOOKUP(F1211, [2]MOE!B:C, 2, FALSE), "No")</f>
        <v>YES</v>
      </c>
      <c r="Q1211" s="711"/>
      <c r="S1211" s="670" t="s">
        <v>2027</v>
      </c>
      <c r="T1211" s="668" t="s">
        <v>1063</v>
      </c>
    </row>
    <row r="1212" spans="1:20">
      <c r="A1212" s="671"/>
      <c r="B1212" s="677"/>
      <c r="C1212" s="672"/>
      <c r="D1212" s="672" t="s">
        <v>859</v>
      </c>
      <c r="E1212" s="676" t="s">
        <v>1065</v>
      </c>
      <c r="F1212" s="675"/>
      <c r="G1212" s="672"/>
      <c r="H1212" s="676"/>
      <c r="Q1212" s="711"/>
      <c r="S1212" s="670"/>
    </row>
    <row r="1213" spans="1:20">
      <c r="A1213" s="679">
        <v>2102150</v>
      </c>
      <c r="B1213" s="677"/>
      <c r="C1213" s="672"/>
      <c r="D1213" s="672"/>
      <c r="E1213" s="676" t="s">
        <v>1159</v>
      </c>
      <c r="F1213" s="683" t="s">
        <v>2061</v>
      </c>
      <c r="G1213" s="678">
        <v>210</v>
      </c>
      <c r="H1213" s="684">
        <v>2150</v>
      </c>
      <c r="J1213" s="668" t="str">
        <f t="shared" ref="J1213:J1215" si="200">E1213</f>
        <v>(1) Group Insurance</v>
      </c>
      <c r="L1213" s="668">
        <v>89</v>
      </c>
      <c r="M1213" s="669">
        <v>84</v>
      </c>
      <c r="N1213" s="668"/>
      <c r="O1213" s="668">
        <v>13</v>
      </c>
      <c r="P1213" s="668" t="str">
        <f>IFERROR(VLOOKUP(F1213, [2]MOE!B:C, 2, FALSE), "No")</f>
        <v>YES</v>
      </c>
      <c r="Q1213" s="711" t="s">
        <v>1004</v>
      </c>
      <c r="S1213" s="670" t="s">
        <v>2027</v>
      </c>
      <c r="T1213" s="668" t="s">
        <v>1066</v>
      </c>
    </row>
    <row r="1214" spans="1:20">
      <c r="A1214" s="679">
        <v>2202150</v>
      </c>
      <c r="B1214" s="677"/>
      <c r="C1214" s="672"/>
      <c r="D1214" s="672"/>
      <c r="E1214" s="676" t="s">
        <v>1161</v>
      </c>
      <c r="F1214" s="683" t="s">
        <v>2062</v>
      </c>
      <c r="G1214" s="678">
        <v>220</v>
      </c>
      <c r="H1214" s="684">
        <v>2150</v>
      </c>
      <c r="J1214" s="668" t="str">
        <f t="shared" si="200"/>
        <v>(2) FICA</v>
      </c>
      <c r="L1214" s="668">
        <v>90</v>
      </c>
      <c r="M1214" s="669">
        <v>85</v>
      </c>
      <c r="N1214" s="668"/>
      <c r="O1214" s="668">
        <v>13</v>
      </c>
      <c r="P1214" s="668" t="str">
        <f>IFERROR(VLOOKUP(F1214, [2]MOE!B:C, 2, FALSE), "No")</f>
        <v>YES</v>
      </c>
      <c r="Q1214" s="711" t="s">
        <v>1004</v>
      </c>
      <c r="S1214" s="670" t="s">
        <v>2027</v>
      </c>
      <c r="T1214" s="668" t="s">
        <v>1068</v>
      </c>
    </row>
    <row r="1215" spans="1:20">
      <c r="A1215" s="679">
        <v>2252150</v>
      </c>
      <c r="B1215" s="677"/>
      <c r="C1215" s="672"/>
      <c r="D1215" s="672"/>
      <c r="E1215" s="676" t="s">
        <v>1163</v>
      </c>
      <c r="F1215" s="683" t="s">
        <v>2063</v>
      </c>
      <c r="G1215" s="678">
        <v>225</v>
      </c>
      <c r="H1215" s="684">
        <v>2150</v>
      </c>
      <c r="J1215" s="668" t="str">
        <f t="shared" si="200"/>
        <v>(3) Medicare</v>
      </c>
      <c r="L1215" s="668">
        <v>91</v>
      </c>
      <c r="M1215" s="669">
        <v>86</v>
      </c>
      <c r="N1215" s="668"/>
      <c r="O1215" s="668">
        <v>13</v>
      </c>
      <c r="P1215" s="668" t="str">
        <f>IFERROR(VLOOKUP(F1215, [2]MOE!B:C, 2, FALSE), "No")</f>
        <v>YES</v>
      </c>
      <c r="Q1215" s="711" t="s">
        <v>1004</v>
      </c>
      <c r="S1215" s="670" t="s">
        <v>2027</v>
      </c>
      <c r="T1215" s="668" t="s">
        <v>23</v>
      </c>
    </row>
    <row r="1216" spans="1:20">
      <c r="A1216" s="671"/>
      <c r="B1216" s="677"/>
      <c r="C1216" s="672"/>
      <c r="D1216" s="672"/>
      <c r="E1216" s="676" t="s">
        <v>1165</v>
      </c>
      <c r="F1216" s="675"/>
      <c r="G1216" s="672"/>
      <c r="H1216" s="676"/>
      <c r="Q1216" s="711"/>
      <c r="S1216" s="670"/>
    </row>
    <row r="1217" spans="1:20">
      <c r="A1217" s="679">
        <v>2312150</v>
      </c>
      <c r="B1217" s="677"/>
      <c r="C1217" s="672"/>
      <c r="D1217" s="672"/>
      <c r="E1217" s="676" t="s">
        <v>1166</v>
      </c>
      <c r="F1217" s="683" t="s">
        <v>2064</v>
      </c>
      <c r="G1217" s="678">
        <v>231</v>
      </c>
      <c r="H1217" s="684">
        <v>2150</v>
      </c>
      <c r="J1217" s="668" t="str">
        <f t="shared" ref="J1217:J1225" si="201">E1217</f>
        <v>(a) Louisiana Teachers Retirement</v>
      </c>
      <c r="L1217" s="668">
        <v>92</v>
      </c>
      <c r="M1217" s="669">
        <v>87</v>
      </c>
      <c r="N1217" s="668"/>
      <c r="O1217" s="668">
        <v>13</v>
      </c>
      <c r="P1217" s="668" t="str">
        <f>IFERROR(VLOOKUP(F1217, [2]MOE!B:C, 2, FALSE), "No")</f>
        <v>YES</v>
      </c>
      <c r="Q1217" s="711" t="s">
        <v>1004</v>
      </c>
      <c r="S1217" s="670" t="s">
        <v>2027</v>
      </c>
      <c r="T1217" s="668" t="s">
        <v>1074</v>
      </c>
    </row>
    <row r="1218" spans="1:20">
      <c r="A1218" s="679">
        <v>2332150</v>
      </c>
      <c r="B1218" s="677"/>
      <c r="C1218" s="672"/>
      <c r="D1218" s="672"/>
      <c r="E1218" s="676" t="s">
        <v>1168</v>
      </c>
      <c r="F1218" s="683" t="s">
        <v>2065</v>
      </c>
      <c r="G1218" s="678">
        <v>233</v>
      </c>
      <c r="H1218" s="684">
        <v>2150</v>
      </c>
      <c r="J1218" s="668" t="str">
        <f t="shared" si="201"/>
        <v>(b) Louisiana School Emp. Retirement</v>
      </c>
      <c r="L1218" s="668">
        <v>92</v>
      </c>
      <c r="M1218" s="669">
        <v>87</v>
      </c>
      <c r="N1218" s="668"/>
      <c r="O1218" s="668">
        <v>13</v>
      </c>
      <c r="P1218" s="668" t="str">
        <f>IFERROR(VLOOKUP(F1218, [2]MOE!B:C, 2, FALSE), "No")</f>
        <v>YES</v>
      </c>
      <c r="Q1218" s="711" t="s">
        <v>1004</v>
      </c>
      <c r="S1218" s="670" t="s">
        <v>2027</v>
      </c>
      <c r="T1218" s="668" t="s">
        <v>1170</v>
      </c>
    </row>
    <row r="1219" spans="1:20">
      <c r="A1219" s="679">
        <v>2392150</v>
      </c>
      <c r="B1219" s="719"/>
      <c r="C1219" s="681"/>
      <c r="D1219" s="681"/>
      <c r="E1219" s="686" t="s">
        <v>1171</v>
      </c>
      <c r="F1219" s="680" t="s">
        <v>2066</v>
      </c>
      <c r="G1219" s="710">
        <v>239</v>
      </c>
      <c r="H1219" s="682">
        <v>2150</v>
      </c>
      <c r="J1219" s="668" t="str">
        <f t="shared" si="201"/>
        <v>(c) Other Retirement</v>
      </c>
      <c r="L1219" s="668">
        <v>92</v>
      </c>
      <c r="M1219" s="669">
        <v>87</v>
      </c>
      <c r="N1219" s="668"/>
      <c r="O1219" s="668">
        <v>13</v>
      </c>
      <c r="P1219" s="668" t="str">
        <f>IFERROR(VLOOKUP(F1219, [2]MOE!B:C, 2, FALSE), "No")</f>
        <v>YES</v>
      </c>
      <c r="Q1219" s="711" t="s">
        <v>1004</v>
      </c>
      <c r="S1219" s="670" t="s">
        <v>2027</v>
      </c>
      <c r="T1219" s="668" t="s">
        <v>1080</v>
      </c>
    </row>
    <row r="1220" spans="1:20">
      <c r="A1220" s="679">
        <v>2502150</v>
      </c>
      <c r="B1220" s="677"/>
      <c r="C1220" s="672"/>
      <c r="D1220" s="672"/>
      <c r="E1220" s="676" t="s">
        <v>1173</v>
      </c>
      <c r="F1220" s="683" t="s">
        <v>2067</v>
      </c>
      <c r="G1220" s="678">
        <v>250</v>
      </c>
      <c r="H1220" s="684">
        <v>2150</v>
      </c>
      <c r="J1220" s="668" t="str">
        <f t="shared" si="201"/>
        <v>(5) Unemployment Compensation</v>
      </c>
      <c r="L1220" s="668">
        <v>93</v>
      </c>
      <c r="M1220" s="669">
        <v>88</v>
      </c>
      <c r="N1220" s="668"/>
      <c r="O1220" s="668">
        <v>13</v>
      </c>
      <c r="P1220" s="668" t="str">
        <f>IFERROR(VLOOKUP(F1220, [2]MOE!B:C, 2, FALSE), "No")</f>
        <v>YES</v>
      </c>
      <c r="Q1220" s="711" t="s">
        <v>1004</v>
      </c>
      <c r="S1220" s="670" t="s">
        <v>2027</v>
      </c>
      <c r="T1220" s="668" t="s">
        <v>1081</v>
      </c>
    </row>
    <row r="1221" spans="1:20">
      <c r="A1221" s="679">
        <v>2602150</v>
      </c>
      <c r="B1221" s="677"/>
      <c r="C1221" s="672"/>
      <c r="D1221" s="672"/>
      <c r="E1221" s="676" t="s">
        <v>1175</v>
      </c>
      <c r="F1221" s="683" t="s">
        <v>2068</v>
      </c>
      <c r="G1221" s="678">
        <v>260</v>
      </c>
      <c r="H1221" s="684">
        <v>2150</v>
      </c>
      <c r="J1221" s="668" t="str">
        <f t="shared" si="201"/>
        <v>(6) Workmen's Compensation</v>
      </c>
      <c r="L1221" s="668">
        <v>95</v>
      </c>
      <c r="M1221" s="669">
        <v>90</v>
      </c>
      <c r="N1221" s="668"/>
      <c r="O1221" s="668">
        <v>13</v>
      </c>
      <c r="P1221" s="668" t="str">
        <f>IFERROR(VLOOKUP(F1221, [2]MOE!B:C, 2, FALSE), "No")</f>
        <v>YES</v>
      </c>
      <c r="Q1221" s="711" t="s">
        <v>1004</v>
      </c>
      <c r="S1221" s="670" t="s">
        <v>2027</v>
      </c>
      <c r="T1221" s="668" t="s">
        <v>1083</v>
      </c>
    </row>
    <row r="1222" spans="1:20">
      <c r="A1222" s="679">
        <v>2702150</v>
      </c>
      <c r="B1222" s="677"/>
      <c r="C1222" s="672"/>
      <c r="D1222" s="672"/>
      <c r="E1222" s="676" t="s">
        <v>1177</v>
      </c>
      <c r="F1222" s="683" t="s">
        <v>2069</v>
      </c>
      <c r="G1222" s="678">
        <v>270</v>
      </c>
      <c r="H1222" s="684">
        <v>2150</v>
      </c>
      <c r="J1222" s="668" t="str">
        <f t="shared" si="201"/>
        <v>(7) Health Benefits (retirees)</v>
      </c>
      <c r="L1222" s="668">
        <v>94</v>
      </c>
      <c r="M1222" s="669">
        <v>89</v>
      </c>
      <c r="N1222" s="668"/>
      <c r="O1222" s="668">
        <v>13</v>
      </c>
      <c r="P1222" s="668" t="str">
        <f>IFERROR(VLOOKUP(F1222, [2]MOE!B:C, 2, FALSE), "No")</f>
        <v>YES</v>
      </c>
      <c r="Q1222" s="711" t="s">
        <v>1004</v>
      </c>
      <c r="S1222" s="670" t="s">
        <v>2027</v>
      </c>
      <c r="T1222" s="668" t="s">
        <v>1085</v>
      </c>
    </row>
    <row r="1223" spans="1:20">
      <c r="A1223" s="679">
        <v>2812150</v>
      </c>
      <c r="B1223" s="677"/>
      <c r="C1223" s="672"/>
      <c r="D1223" s="672"/>
      <c r="E1223" s="676" t="s">
        <v>1179</v>
      </c>
      <c r="F1223" s="683" t="s">
        <v>2070</v>
      </c>
      <c r="G1223" s="678">
        <v>281</v>
      </c>
      <c r="H1223" s="684">
        <v>2150</v>
      </c>
      <c r="J1223" s="668" t="str">
        <f t="shared" si="201"/>
        <v>(8) Sick Leave Severance Pay</v>
      </c>
      <c r="L1223" s="668">
        <v>95</v>
      </c>
      <c r="M1223" s="669">
        <v>90</v>
      </c>
      <c r="N1223" s="668"/>
      <c r="O1223" s="668">
        <v>13</v>
      </c>
      <c r="P1223" s="668" t="str">
        <f>IFERROR(VLOOKUP(F1223, [2]MOE!B:C, 2, FALSE), "No")</f>
        <v>YES</v>
      </c>
      <c r="Q1223" s="711" t="s">
        <v>1004</v>
      </c>
      <c r="S1223" s="670" t="s">
        <v>2027</v>
      </c>
      <c r="T1223" s="668" t="s">
        <v>1087</v>
      </c>
    </row>
    <row r="1224" spans="1:20">
      <c r="A1224" s="679">
        <v>2822150</v>
      </c>
      <c r="B1224" s="677"/>
      <c r="C1224" s="672"/>
      <c r="D1224" s="672"/>
      <c r="E1224" s="676" t="s">
        <v>1181</v>
      </c>
      <c r="F1224" s="683" t="s">
        <v>2071</v>
      </c>
      <c r="G1224" s="678">
        <v>282</v>
      </c>
      <c r="H1224" s="684">
        <v>2150</v>
      </c>
      <c r="J1224" s="668" t="str">
        <f t="shared" si="201"/>
        <v>(9) Annual Leave Severance Pay</v>
      </c>
      <c r="L1224" s="668">
        <v>95</v>
      </c>
      <c r="M1224" s="669">
        <v>90</v>
      </c>
      <c r="N1224" s="668"/>
      <c r="O1224" s="668">
        <v>13</v>
      </c>
      <c r="P1224" s="668" t="str">
        <f>IFERROR(VLOOKUP(F1224, [2]MOE!B:C, 2, FALSE), "No")</f>
        <v>YES</v>
      </c>
      <c r="Q1224" s="711" t="s">
        <v>1004</v>
      </c>
      <c r="S1224" s="670" t="s">
        <v>2027</v>
      </c>
      <c r="T1224" s="668" t="s">
        <v>1089</v>
      </c>
    </row>
    <row r="1225" spans="1:20">
      <c r="A1225" s="679">
        <v>2902150</v>
      </c>
      <c r="B1225" s="677"/>
      <c r="C1225" s="672"/>
      <c r="D1225" s="672"/>
      <c r="E1225" s="676" t="s">
        <v>1183</v>
      </c>
      <c r="F1225" s="683" t="s">
        <v>2072</v>
      </c>
      <c r="G1225" s="678">
        <v>290</v>
      </c>
      <c r="H1225" s="684">
        <v>2150</v>
      </c>
      <c r="J1225" s="668" t="str">
        <f t="shared" si="201"/>
        <v>(10) Other Employee Benefits</v>
      </c>
      <c r="L1225" s="668">
        <v>95</v>
      </c>
      <c r="M1225" s="669">
        <v>90</v>
      </c>
      <c r="N1225" s="668"/>
      <c r="O1225" s="668">
        <v>13</v>
      </c>
      <c r="P1225" s="668" t="str">
        <f>IFERROR(VLOOKUP(F1225, [2]MOE!B:C, 2, FALSE), "No")</f>
        <v>YES</v>
      </c>
      <c r="Q1225" s="711" t="s">
        <v>1004</v>
      </c>
      <c r="S1225" s="670" t="s">
        <v>2027</v>
      </c>
      <c r="T1225" s="668" t="s">
        <v>1092</v>
      </c>
    </row>
    <row r="1226" spans="1:20">
      <c r="A1226" s="671"/>
      <c r="B1226" s="677"/>
      <c r="C1226" s="678">
        <v>52</v>
      </c>
      <c r="D1226" s="925" t="s">
        <v>2073</v>
      </c>
      <c r="E1226" s="926"/>
      <c r="F1226" s="675"/>
      <c r="G1226" s="672"/>
      <c r="H1226" s="676"/>
      <c r="Q1226" s="711"/>
      <c r="S1226" s="670"/>
    </row>
    <row r="1227" spans="1:20">
      <c r="A1227" s="671"/>
      <c r="B1227" s="677"/>
      <c r="C1227" s="672"/>
      <c r="D1227" s="927" t="s">
        <v>2074</v>
      </c>
      <c r="E1227" s="926"/>
      <c r="F1227" s="675"/>
      <c r="G1227" s="672"/>
      <c r="H1227" s="676"/>
      <c r="Q1227" s="711"/>
      <c r="S1227" s="670"/>
    </row>
    <row r="1228" spans="1:20">
      <c r="A1228" s="671"/>
      <c r="B1228" s="677"/>
      <c r="C1228" s="672"/>
      <c r="D1228" s="672" t="s">
        <v>759</v>
      </c>
      <c r="E1228" s="676" t="s">
        <v>244</v>
      </c>
      <c r="F1228" s="675"/>
      <c r="G1228" s="672"/>
      <c r="H1228" s="676"/>
      <c r="Q1228" s="711"/>
      <c r="S1228" s="670"/>
    </row>
    <row r="1229" spans="1:20">
      <c r="A1229" s="679">
        <v>1112160</v>
      </c>
      <c r="B1229" s="677"/>
      <c r="C1229" s="672"/>
      <c r="D1229" s="672"/>
      <c r="E1229" s="676" t="s">
        <v>1845</v>
      </c>
      <c r="F1229" s="683" t="s">
        <v>2075</v>
      </c>
      <c r="G1229" s="678">
        <v>111</v>
      </c>
      <c r="H1229" s="684">
        <v>2160</v>
      </c>
      <c r="J1229" s="668" t="str">
        <f t="shared" ref="J1229:J1237" si="202">E1229</f>
        <v>(1) Supervisors</v>
      </c>
      <c r="L1229" s="668">
        <v>81</v>
      </c>
      <c r="M1229" s="669">
        <v>76</v>
      </c>
      <c r="N1229" s="668"/>
      <c r="O1229" s="668">
        <v>13</v>
      </c>
      <c r="P1229" s="668" t="str">
        <f>IFERROR(VLOOKUP(F1229, [2]MOE!B:C, 2, FALSE), "No")</f>
        <v>YES</v>
      </c>
      <c r="Q1229" s="711" t="s">
        <v>1004</v>
      </c>
      <c r="S1229" s="670" t="s">
        <v>2076</v>
      </c>
      <c r="T1229" s="668" t="s">
        <v>1848</v>
      </c>
    </row>
    <row r="1230" spans="1:20">
      <c r="A1230" s="679">
        <v>1132161</v>
      </c>
      <c r="B1230" s="677"/>
      <c r="C1230" s="672"/>
      <c r="D1230" s="672"/>
      <c r="E1230" s="676" t="s">
        <v>2077</v>
      </c>
      <c r="F1230" s="683" t="s">
        <v>2078</v>
      </c>
      <c r="G1230" s="678">
        <v>113</v>
      </c>
      <c r="H1230" s="684">
        <v>2161</v>
      </c>
      <c r="J1230" s="668" t="str">
        <f t="shared" si="202"/>
        <v>(2) Occupational Therapist</v>
      </c>
      <c r="L1230" s="668">
        <v>83</v>
      </c>
      <c r="M1230" s="669">
        <v>78</v>
      </c>
      <c r="N1230" s="668"/>
      <c r="O1230" s="668">
        <v>13</v>
      </c>
      <c r="P1230" s="668" t="str">
        <f>IFERROR(VLOOKUP(F1230, [2]MOE!B:C, 2, FALSE), "No")</f>
        <v>YES</v>
      </c>
      <c r="Q1230" s="711" t="s">
        <v>1004</v>
      </c>
      <c r="S1230" s="670" t="s">
        <v>2076</v>
      </c>
      <c r="T1230" s="668" t="s">
        <v>2079</v>
      </c>
    </row>
    <row r="1231" spans="1:20">
      <c r="A1231" s="679">
        <v>1132166</v>
      </c>
      <c r="B1231" s="677"/>
      <c r="C1231" s="672"/>
      <c r="D1231" s="672"/>
      <c r="E1231" s="676" t="s">
        <v>2080</v>
      </c>
      <c r="F1231" s="683" t="s">
        <v>2081</v>
      </c>
      <c r="G1231" s="678">
        <v>113</v>
      </c>
      <c r="H1231" s="684">
        <v>2166</v>
      </c>
      <c r="J1231" s="668" t="str">
        <f t="shared" si="202"/>
        <v>(3) Physical Therapist</v>
      </c>
      <c r="L1231" s="668">
        <v>83</v>
      </c>
      <c r="M1231" s="669">
        <v>78</v>
      </c>
      <c r="N1231" s="668"/>
      <c r="O1231" s="668">
        <v>13</v>
      </c>
      <c r="P1231" s="668" t="str">
        <f>IFERROR(VLOOKUP(F1231, [2]MOE!B:C, 2, FALSE), "No")</f>
        <v>YES</v>
      </c>
      <c r="Q1231" s="711" t="s">
        <v>1004</v>
      </c>
      <c r="S1231" s="670" t="s">
        <v>2076</v>
      </c>
      <c r="T1231" s="668" t="s">
        <v>2082</v>
      </c>
    </row>
    <row r="1232" spans="1:20">
      <c r="A1232" s="679">
        <v>1132167</v>
      </c>
      <c r="B1232" s="677"/>
      <c r="C1232" s="672"/>
      <c r="D1232" s="672"/>
      <c r="E1232" s="676" t="s">
        <v>2083</v>
      </c>
      <c r="F1232" s="683" t="s">
        <v>2084</v>
      </c>
      <c r="G1232" s="678">
        <v>113</v>
      </c>
      <c r="H1232" s="684">
        <v>2167</v>
      </c>
      <c r="J1232" s="668" t="str">
        <f t="shared" si="202"/>
        <v>(4) Recreational Therapists</v>
      </c>
      <c r="L1232" s="668">
        <v>83</v>
      </c>
      <c r="M1232" s="669">
        <v>78</v>
      </c>
      <c r="N1232" s="668"/>
      <c r="O1232" s="668">
        <v>13</v>
      </c>
      <c r="P1232" s="668" t="str">
        <f>IFERROR(VLOOKUP(F1232, [2]MOE!B:C, 2, FALSE), "No")</f>
        <v>YES</v>
      </c>
      <c r="Q1232" s="711" t="s">
        <v>1004</v>
      </c>
      <c r="S1232" s="670" t="s">
        <v>2076</v>
      </c>
      <c r="T1232" s="668" t="s">
        <v>2085</v>
      </c>
    </row>
    <row r="1233" spans="1:20">
      <c r="A1233" s="679">
        <v>1132168</v>
      </c>
      <c r="B1233" s="677"/>
      <c r="C1233" s="672"/>
      <c r="D1233" s="672"/>
      <c r="E1233" s="676" t="s">
        <v>2086</v>
      </c>
      <c r="F1233" s="683" t="s">
        <v>2087</v>
      </c>
      <c r="G1233" s="678">
        <v>113</v>
      </c>
      <c r="H1233" s="684">
        <v>2168</v>
      </c>
      <c r="J1233" s="668" t="str">
        <f t="shared" si="202"/>
        <v>(5) Rehabilitational Therapist</v>
      </c>
      <c r="L1233" s="668">
        <v>83</v>
      </c>
      <c r="M1233" s="669">
        <v>78</v>
      </c>
      <c r="N1233" s="668"/>
      <c r="O1233" s="668">
        <v>13</v>
      </c>
      <c r="P1233" s="668" t="str">
        <f>IFERROR(VLOOKUP(F1233, [2]MOE!B:C, 2, FALSE), "No")</f>
        <v>YES</v>
      </c>
      <c r="Q1233" s="711" t="s">
        <v>1004</v>
      </c>
      <c r="S1233" s="670" t="s">
        <v>2076</v>
      </c>
      <c r="T1233" s="668" t="s">
        <v>2088</v>
      </c>
    </row>
    <row r="1234" spans="1:20">
      <c r="A1234" s="679">
        <v>1132169</v>
      </c>
      <c r="B1234" s="677"/>
      <c r="C1234" s="672"/>
      <c r="D1234" s="672"/>
      <c r="E1234" s="676" t="s">
        <v>2089</v>
      </c>
      <c r="F1234" s="683" t="s">
        <v>2090</v>
      </c>
      <c r="G1234" s="678">
        <v>113</v>
      </c>
      <c r="H1234" s="684">
        <v>2169</v>
      </c>
      <c r="J1234" s="668" t="str">
        <f t="shared" si="202"/>
        <v>(6) Orientation and Mobility Therapists</v>
      </c>
      <c r="L1234" s="668">
        <v>83</v>
      </c>
      <c r="M1234" s="669">
        <v>78</v>
      </c>
      <c r="N1234" s="668"/>
      <c r="O1234" s="668">
        <v>13</v>
      </c>
      <c r="P1234" s="668" t="str">
        <f>IFERROR(VLOOKUP(F1234, [2]MOE!B:C, 2, FALSE), "No")</f>
        <v>YES</v>
      </c>
      <c r="Q1234" s="711" t="s">
        <v>1004</v>
      </c>
      <c r="S1234" s="670" t="s">
        <v>2076</v>
      </c>
      <c r="T1234" s="668" t="s">
        <v>2091</v>
      </c>
    </row>
    <row r="1235" spans="1:20">
      <c r="A1235" s="679">
        <v>1002160</v>
      </c>
      <c r="B1235" s="677"/>
      <c r="C1235" s="672"/>
      <c r="D1235" s="672"/>
      <c r="E1235" s="676" t="s">
        <v>2092</v>
      </c>
      <c r="F1235" s="683" t="s">
        <v>2093</v>
      </c>
      <c r="G1235" s="678">
        <v>100</v>
      </c>
      <c r="H1235" s="684">
        <v>2160</v>
      </c>
      <c r="J1235" s="668" t="str">
        <f t="shared" si="202"/>
        <v>(7) Other Therapy &amp; Related Svcs Salaries</v>
      </c>
      <c r="L1235" s="668">
        <v>86</v>
      </c>
      <c r="M1235" s="669">
        <v>81</v>
      </c>
      <c r="N1235" s="668"/>
      <c r="O1235" s="668">
        <v>13</v>
      </c>
      <c r="P1235" s="668" t="str">
        <f>IFERROR(VLOOKUP(F1235, [2]MOE!B:C, 2, FALSE), "No")</f>
        <v>YES</v>
      </c>
      <c r="Q1235" s="711" t="s">
        <v>1004</v>
      </c>
      <c r="S1235" s="670" t="s">
        <v>2076</v>
      </c>
      <c r="T1235" s="668" t="s">
        <v>2094</v>
      </c>
    </row>
    <row r="1236" spans="1:20">
      <c r="A1236" s="679">
        <v>1402160</v>
      </c>
      <c r="B1236" s="677"/>
      <c r="C1236" s="672"/>
      <c r="D1236" s="672"/>
      <c r="E1236" s="676" t="s">
        <v>1948</v>
      </c>
      <c r="F1236" s="683" t="s">
        <v>2095</v>
      </c>
      <c r="G1236" s="678">
        <v>140</v>
      </c>
      <c r="H1236" s="684">
        <v>2160</v>
      </c>
      <c r="J1236" s="668" t="str">
        <f t="shared" si="202"/>
        <v>(8) Sabbatical Leave</v>
      </c>
      <c r="L1236" s="668">
        <v>86</v>
      </c>
      <c r="M1236" s="669">
        <v>81</v>
      </c>
      <c r="N1236" s="668"/>
      <c r="O1236" s="668">
        <v>13</v>
      </c>
      <c r="P1236" s="668" t="str">
        <f>IFERROR(VLOOKUP(F1236, [2]MOE!B:C, 2, FALSE), "No")</f>
        <v>YES</v>
      </c>
      <c r="Q1236" s="711" t="s">
        <v>1004</v>
      </c>
      <c r="S1236" s="670" t="s">
        <v>2076</v>
      </c>
      <c r="T1236" s="668" t="s">
        <v>1019</v>
      </c>
    </row>
    <row r="1237" spans="1:20">
      <c r="A1237" s="679">
        <v>3002160</v>
      </c>
      <c r="B1237" s="677"/>
      <c r="C1237" s="672"/>
      <c r="D1237" s="672" t="s">
        <v>777</v>
      </c>
      <c r="E1237" s="676" t="s">
        <v>1113</v>
      </c>
      <c r="F1237" s="683" t="s">
        <v>2096</v>
      </c>
      <c r="G1237" s="678">
        <v>300</v>
      </c>
      <c r="H1237" s="684">
        <v>2160</v>
      </c>
      <c r="J1237" s="668" t="str">
        <f t="shared" si="202"/>
        <v>Purchased Professional and Technical Svcs</v>
      </c>
      <c r="L1237" s="668">
        <v>101</v>
      </c>
      <c r="M1237" s="669">
        <v>96</v>
      </c>
      <c r="N1237" s="668"/>
      <c r="O1237" s="668">
        <v>13</v>
      </c>
      <c r="P1237" s="668" t="str">
        <f>IFERROR(VLOOKUP(F1237, [2]MOE!B:C, 2, FALSE), "No")</f>
        <v>YES</v>
      </c>
      <c r="Q1237" s="711"/>
      <c r="S1237" s="670" t="s">
        <v>2076</v>
      </c>
      <c r="T1237" s="668" t="s">
        <v>1113</v>
      </c>
    </row>
    <row r="1238" spans="1:20">
      <c r="A1238" s="671"/>
      <c r="B1238" s="677"/>
      <c r="C1238" s="672"/>
      <c r="D1238" s="672" t="s">
        <v>801</v>
      </c>
      <c r="E1238" s="676" t="s">
        <v>250</v>
      </c>
      <c r="F1238" s="675"/>
      <c r="G1238" s="672"/>
      <c r="H1238" s="676"/>
      <c r="Q1238" s="711"/>
      <c r="S1238" s="670"/>
    </row>
    <row r="1239" spans="1:20">
      <c r="A1239" s="679">
        <v>4302160</v>
      </c>
      <c r="B1239" s="677"/>
      <c r="C1239" s="672"/>
      <c r="D1239" s="672"/>
      <c r="E1239" s="676" t="s">
        <v>1115</v>
      </c>
      <c r="F1239" s="683" t="s">
        <v>2097</v>
      </c>
      <c r="G1239" s="678">
        <v>430</v>
      </c>
      <c r="H1239" s="684">
        <v>2160</v>
      </c>
      <c r="J1239" s="668" t="str">
        <f t="shared" ref="J1239:J1241" si="203">E1239</f>
        <v>(1) Repairs and Maintenance Services</v>
      </c>
      <c r="L1239" s="668">
        <v>107</v>
      </c>
      <c r="M1239" s="669">
        <v>102</v>
      </c>
      <c r="N1239" s="668"/>
      <c r="O1239" s="668">
        <v>13</v>
      </c>
      <c r="P1239" s="668" t="str">
        <f>IFERROR(VLOOKUP(F1239, [2]MOE!B:C, 2, FALSE), "No")</f>
        <v>YES</v>
      </c>
      <c r="Q1239" s="711"/>
      <c r="S1239" s="670" t="s">
        <v>2076</v>
      </c>
      <c r="T1239" s="668" t="s">
        <v>1023</v>
      </c>
    </row>
    <row r="1240" spans="1:20">
      <c r="A1240" s="679">
        <v>4422160</v>
      </c>
      <c r="B1240" s="677"/>
      <c r="C1240" s="672"/>
      <c r="D1240" s="672"/>
      <c r="E1240" s="676" t="s">
        <v>1117</v>
      </c>
      <c r="F1240" s="683" t="s">
        <v>2098</v>
      </c>
      <c r="G1240" s="678">
        <v>442</v>
      </c>
      <c r="H1240" s="684">
        <v>2160</v>
      </c>
      <c r="J1240" s="668" t="str">
        <f t="shared" si="203"/>
        <v>(2) Rental of Equipment</v>
      </c>
      <c r="L1240" s="668">
        <v>106</v>
      </c>
      <c r="M1240" s="669">
        <v>101</v>
      </c>
      <c r="N1240" s="668"/>
      <c r="O1240" s="668">
        <v>13</v>
      </c>
      <c r="P1240" s="668" t="str">
        <f>IFERROR(VLOOKUP(F1240, [2]MOE!B:C, 2, FALSE), "No")</f>
        <v>YES</v>
      </c>
      <c r="Q1240" s="711"/>
      <c r="S1240" s="670" t="s">
        <v>2076</v>
      </c>
      <c r="T1240" s="668" t="s">
        <v>1025</v>
      </c>
    </row>
    <row r="1241" spans="1:20">
      <c r="A1241" s="679">
        <v>4002160</v>
      </c>
      <c r="B1241" s="677"/>
      <c r="C1241" s="672"/>
      <c r="D1241" s="672"/>
      <c r="E1241" s="676" t="s">
        <v>1119</v>
      </c>
      <c r="F1241" s="683" t="s">
        <v>2099</v>
      </c>
      <c r="G1241" s="678">
        <v>400</v>
      </c>
      <c r="H1241" s="684">
        <v>2160</v>
      </c>
      <c r="J1241" s="668" t="str">
        <f t="shared" si="203"/>
        <v>(3) Other Purchased Property Services</v>
      </c>
      <c r="L1241" s="668">
        <v>108</v>
      </c>
      <c r="M1241" s="669">
        <v>103</v>
      </c>
      <c r="N1241" s="668"/>
      <c r="O1241" s="668">
        <v>13</v>
      </c>
      <c r="P1241" s="668" t="str">
        <f>IFERROR(VLOOKUP(F1241, [2]MOE!B:C, 2, FALSE), "No")</f>
        <v>YES</v>
      </c>
      <c r="Q1241" s="711"/>
      <c r="S1241" s="670" t="s">
        <v>2076</v>
      </c>
      <c r="T1241" s="668" t="s">
        <v>1027</v>
      </c>
    </row>
    <row r="1242" spans="1:20">
      <c r="A1242" s="671"/>
      <c r="B1242" s="677"/>
      <c r="C1242" s="672"/>
      <c r="D1242" s="672" t="s">
        <v>805</v>
      </c>
      <c r="E1242" s="676" t="s">
        <v>252</v>
      </c>
      <c r="F1242" s="675"/>
      <c r="G1242" s="672"/>
      <c r="H1242" s="676"/>
      <c r="Q1242" s="711"/>
      <c r="S1242" s="670"/>
    </row>
    <row r="1243" spans="1:20">
      <c r="A1243" s="679">
        <v>5822160</v>
      </c>
      <c r="B1243" s="677"/>
      <c r="C1243" s="672"/>
      <c r="D1243" s="672"/>
      <c r="E1243" s="676" t="s">
        <v>1864</v>
      </c>
      <c r="F1243" s="683" t="s">
        <v>2100</v>
      </c>
      <c r="G1243" s="678">
        <v>582</v>
      </c>
      <c r="H1243" s="684">
        <v>2160</v>
      </c>
      <c r="J1243" s="668" t="str">
        <f t="shared" ref="J1243:J1244" si="204">E1243</f>
        <v>(1) Travel Expense Reimbursement</v>
      </c>
      <c r="L1243" s="668">
        <v>118</v>
      </c>
      <c r="M1243" s="669">
        <v>109</v>
      </c>
      <c r="N1243" s="668"/>
      <c r="O1243" s="668">
        <v>13</v>
      </c>
      <c r="P1243" s="668" t="str">
        <f>IFERROR(VLOOKUP(F1243, [2]MOE!B:C, 2, FALSE), "No")</f>
        <v>YES</v>
      </c>
      <c r="Q1243" s="711"/>
      <c r="S1243" s="670" t="s">
        <v>2076</v>
      </c>
      <c r="T1243" s="668" t="s">
        <v>1039</v>
      </c>
    </row>
    <row r="1244" spans="1:20">
      <c r="A1244" s="679">
        <v>5002160</v>
      </c>
      <c r="B1244" s="677"/>
      <c r="C1244" s="672"/>
      <c r="D1244" s="672"/>
      <c r="E1244" s="676" t="s">
        <v>1866</v>
      </c>
      <c r="F1244" s="683" t="s">
        <v>2101</v>
      </c>
      <c r="G1244" s="678">
        <v>500</v>
      </c>
      <c r="H1244" s="684">
        <v>2160</v>
      </c>
      <c r="J1244" s="668" t="str">
        <f t="shared" si="204"/>
        <v>(2) Other Purchased Services</v>
      </c>
      <c r="L1244" s="668">
        <v>119</v>
      </c>
      <c r="M1244" s="669">
        <v>110</v>
      </c>
      <c r="N1244" s="668"/>
      <c r="O1244" s="668">
        <v>13</v>
      </c>
      <c r="P1244" s="668" t="str">
        <f>IFERROR(VLOOKUP(F1244, [2]MOE!B:C, 2, FALSE), "No")</f>
        <v>YES</v>
      </c>
      <c r="Q1244" s="711"/>
      <c r="S1244" s="670" t="s">
        <v>2076</v>
      </c>
      <c r="T1244" s="668" t="s">
        <v>252</v>
      </c>
    </row>
    <row r="1245" spans="1:20">
      <c r="A1245" s="671"/>
      <c r="B1245" s="677"/>
      <c r="C1245" s="672"/>
      <c r="D1245" s="672" t="s">
        <v>850</v>
      </c>
      <c r="E1245" s="676" t="s">
        <v>254</v>
      </c>
      <c r="F1245" s="675"/>
      <c r="G1245" s="672"/>
      <c r="H1245" s="676"/>
      <c r="Q1245" s="711"/>
      <c r="S1245" s="670"/>
    </row>
    <row r="1246" spans="1:20">
      <c r="A1246" s="679">
        <v>6152160</v>
      </c>
      <c r="B1246" s="677"/>
      <c r="C1246" s="672"/>
      <c r="D1246" s="672"/>
      <c r="E1246" s="676" t="s">
        <v>1139</v>
      </c>
      <c r="F1246" s="683" t="s">
        <v>2102</v>
      </c>
      <c r="G1246" s="678">
        <v>615</v>
      </c>
      <c r="H1246" s="684">
        <v>2160</v>
      </c>
      <c r="J1246" s="668" t="str">
        <f t="shared" ref="J1246:J1248" si="205">E1246</f>
        <v>(1) Technology-Related Supplies</v>
      </c>
      <c r="L1246" s="668">
        <v>126</v>
      </c>
      <c r="M1246" s="669">
        <v>117</v>
      </c>
      <c r="N1246" s="668"/>
      <c r="O1246" s="668">
        <v>13</v>
      </c>
      <c r="P1246" s="668" t="str">
        <f>IFERROR(VLOOKUP(F1246, [2]MOE!B:C, 2, FALSE), "No")</f>
        <v>YES</v>
      </c>
      <c r="Q1246" s="711" t="s">
        <v>1045</v>
      </c>
      <c r="S1246" s="670" t="s">
        <v>2076</v>
      </c>
      <c r="T1246" s="668" t="s">
        <v>1043</v>
      </c>
    </row>
    <row r="1247" spans="1:20">
      <c r="A1247" s="679">
        <v>6102160</v>
      </c>
      <c r="B1247" s="677"/>
      <c r="C1247" s="672"/>
      <c r="D1247" s="672"/>
      <c r="E1247" s="676" t="s">
        <v>1141</v>
      </c>
      <c r="F1247" s="683" t="s">
        <v>2103</v>
      </c>
      <c r="G1247" s="678">
        <v>610</v>
      </c>
      <c r="H1247" s="684">
        <v>2160</v>
      </c>
      <c r="J1247" s="668" t="str">
        <f t="shared" si="205"/>
        <v>(2) Materials and Supplies</v>
      </c>
      <c r="L1247" s="668">
        <v>122</v>
      </c>
      <c r="M1247" s="669">
        <v>113</v>
      </c>
      <c r="N1247" s="668"/>
      <c r="O1247" s="668">
        <v>13</v>
      </c>
      <c r="P1247" s="668" t="str">
        <f>IFERROR(VLOOKUP(F1247, [2]MOE!B:C, 2, FALSE), "No")</f>
        <v>YES</v>
      </c>
      <c r="Q1247" s="711" t="s">
        <v>1045</v>
      </c>
      <c r="S1247" s="670" t="s">
        <v>2076</v>
      </c>
      <c r="T1247" s="668" t="s">
        <v>39</v>
      </c>
    </row>
    <row r="1248" spans="1:20">
      <c r="A1248" s="679">
        <v>6002160</v>
      </c>
      <c r="B1248" s="677"/>
      <c r="C1248" s="672"/>
      <c r="D1248" s="672"/>
      <c r="E1248" s="676" t="s">
        <v>1870</v>
      </c>
      <c r="F1248" s="683" t="s">
        <v>2104</v>
      </c>
      <c r="G1248" s="678">
        <v>600</v>
      </c>
      <c r="H1248" s="684">
        <v>2160</v>
      </c>
      <c r="J1248" s="668" t="str">
        <f t="shared" si="205"/>
        <v>(3) Other Supplies</v>
      </c>
      <c r="L1248" s="668">
        <v>126</v>
      </c>
      <c r="M1248" s="669">
        <v>117</v>
      </c>
      <c r="N1248" s="668"/>
      <c r="O1248" s="668">
        <v>13</v>
      </c>
      <c r="P1248" s="668" t="str">
        <f>IFERROR(VLOOKUP(F1248, [2]MOE!B:C, 2, FALSE), "No")</f>
        <v>YES</v>
      </c>
      <c r="Q1248" s="711"/>
      <c r="S1248" s="670" t="s">
        <v>2076</v>
      </c>
      <c r="T1248" s="668" t="s">
        <v>1050</v>
      </c>
    </row>
    <row r="1249" spans="1:20">
      <c r="A1249" s="671"/>
      <c r="B1249" s="677"/>
      <c r="C1249" s="672"/>
      <c r="D1249" s="672" t="s">
        <v>853</v>
      </c>
      <c r="E1249" s="676" t="s">
        <v>1052</v>
      </c>
      <c r="F1249" s="675"/>
      <c r="G1249" s="672"/>
      <c r="H1249" s="676"/>
      <c r="Q1249" s="711"/>
      <c r="S1249" s="670"/>
    </row>
    <row r="1250" spans="1:20">
      <c r="A1250" s="679">
        <v>7342160</v>
      </c>
      <c r="B1250" s="677"/>
      <c r="C1250" s="672"/>
      <c r="D1250" s="672"/>
      <c r="E1250" s="676" t="s">
        <v>1147</v>
      </c>
      <c r="F1250" s="683" t="s">
        <v>2105</v>
      </c>
      <c r="G1250" s="678">
        <v>734</v>
      </c>
      <c r="H1250" s="684">
        <v>2160</v>
      </c>
      <c r="J1250" s="668" t="str">
        <f t="shared" ref="J1250:J1253" si="206">E1250</f>
        <v>(1) Technology-Related Hardware</v>
      </c>
      <c r="L1250" s="668">
        <v>131</v>
      </c>
      <c r="M1250" s="669">
        <v>122</v>
      </c>
      <c r="N1250" s="668"/>
      <c r="O1250" s="668">
        <v>13</v>
      </c>
      <c r="P1250" s="668" t="str">
        <f>IFERROR(VLOOKUP(F1250, [2]MOE!B:C, 2, FALSE), "No")</f>
        <v>No</v>
      </c>
      <c r="Q1250" s="711"/>
      <c r="S1250" s="670" t="s">
        <v>2076</v>
      </c>
      <c r="T1250" s="668" t="s">
        <v>1053</v>
      </c>
    </row>
    <row r="1251" spans="1:20">
      <c r="A1251" s="679">
        <v>7352160</v>
      </c>
      <c r="B1251" s="677"/>
      <c r="C1251" s="672"/>
      <c r="D1251" s="672"/>
      <c r="E1251" s="676" t="s">
        <v>1149</v>
      </c>
      <c r="F1251" s="683" t="s">
        <v>2106</v>
      </c>
      <c r="G1251" s="678">
        <v>735</v>
      </c>
      <c r="H1251" s="684">
        <v>2160</v>
      </c>
      <c r="J1251" s="668" t="str">
        <f t="shared" si="206"/>
        <v>(2) Technology Software</v>
      </c>
      <c r="L1251" s="668">
        <v>131</v>
      </c>
      <c r="M1251" s="669">
        <v>122</v>
      </c>
      <c r="N1251" s="668"/>
      <c r="O1251" s="668">
        <v>13</v>
      </c>
      <c r="P1251" s="668" t="str">
        <f>IFERROR(VLOOKUP(F1251, [2]MOE!B:C, 2, FALSE), "No")</f>
        <v>No</v>
      </c>
      <c r="Q1251" s="711"/>
      <c r="S1251" s="670" t="s">
        <v>2076</v>
      </c>
      <c r="T1251" s="668" t="s">
        <v>1055</v>
      </c>
    </row>
    <row r="1252" spans="1:20">
      <c r="A1252" s="679">
        <v>7302160</v>
      </c>
      <c r="B1252" s="677"/>
      <c r="C1252" s="672"/>
      <c r="D1252" s="672"/>
      <c r="E1252" s="676" t="s">
        <v>1151</v>
      </c>
      <c r="F1252" s="683" t="s">
        <v>2107</v>
      </c>
      <c r="G1252" s="678">
        <v>730</v>
      </c>
      <c r="H1252" s="684">
        <v>2160</v>
      </c>
      <c r="J1252" s="668" t="str">
        <f t="shared" si="206"/>
        <v>(3) All Other Equipment</v>
      </c>
      <c r="L1252" s="668">
        <v>131</v>
      </c>
      <c r="M1252" s="669">
        <v>122</v>
      </c>
      <c r="N1252" s="668"/>
      <c r="O1252" s="668">
        <v>13</v>
      </c>
      <c r="P1252" s="668" t="str">
        <f>IFERROR(VLOOKUP(F1252, [2]MOE!B:C, 2, FALSE), "No")</f>
        <v>No</v>
      </c>
      <c r="Q1252" s="711"/>
      <c r="S1252" s="670" t="s">
        <v>2076</v>
      </c>
      <c r="T1252" s="668" t="s">
        <v>1057</v>
      </c>
    </row>
    <row r="1253" spans="1:20">
      <c r="A1253" s="679">
        <v>7002160</v>
      </c>
      <c r="B1253" s="677"/>
      <c r="C1253" s="672"/>
      <c r="D1253" s="672"/>
      <c r="E1253" s="676" t="s">
        <v>1153</v>
      </c>
      <c r="F1253" s="683" t="s">
        <v>2108</v>
      </c>
      <c r="G1253" s="678">
        <v>700</v>
      </c>
      <c r="H1253" s="684">
        <v>2160</v>
      </c>
      <c r="J1253" s="668" t="str">
        <f t="shared" si="206"/>
        <v>(4) Other Property</v>
      </c>
      <c r="L1253" s="668">
        <v>132</v>
      </c>
      <c r="M1253" s="669">
        <v>123</v>
      </c>
      <c r="N1253" s="668"/>
      <c r="O1253" s="668">
        <v>13</v>
      </c>
      <c r="P1253" s="668" t="str">
        <f>IFERROR(VLOOKUP(F1253, [2]MOE!B:C, 2, FALSE), "No")</f>
        <v>No</v>
      </c>
      <c r="Q1253" s="711"/>
      <c r="S1253" s="670" t="s">
        <v>2076</v>
      </c>
      <c r="T1253" s="668" t="s">
        <v>1059</v>
      </c>
    </row>
    <row r="1254" spans="1:20">
      <c r="A1254" s="671"/>
      <c r="B1254" s="677"/>
      <c r="C1254" s="672"/>
      <c r="D1254" s="672" t="s">
        <v>856</v>
      </c>
      <c r="E1254" s="676" t="s">
        <v>256</v>
      </c>
      <c r="F1254" s="675"/>
      <c r="G1254" s="672"/>
      <c r="H1254" s="676"/>
      <c r="Q1254" s="711"/>
      <c r="S1254" s="670"/>
    </row>
    <row r="1255" spans="1:20">
      <c r="A1255" s="679">
        <v>8952160</v>
      </c>
      <c r="B1255" s="677"/>
      <c r="C1255" s="672"/>
      <c r="D1255" s="672"/>
      <c r="E1255" s="676" t="s">
        <v>1155</v>
      </c>
      <c r="F1255" s="683" t="s">
        <v>2109</v>
      </c>
      <c r="G1255" s="678">
        <v>895</v>
      </c>
      <c r="H1255" s="684">
        <v>2160</v>
      </c>
      <c r="J1255" s="668" t="str">
        <f t="shared" ref="J1255:J1256" si="207">E1255</f>
        <v>(1) Miscellaneous Non-Public Expenditures</v>
      </c>
      <c r="L1255" s="668">
        <v>139</v>
      </c>
      <c r="M1255" s="669">
        <v>129</v>
      </c>
      <c r="N1255" s="668"/>
      <c r="O1255" s="668">
        <v>13</v>
      </c>
      <c r="P1255" s="668" t="str">
        <f>IFERROR(VLOOKUP(F1255, [2]MOE!B:C, 2, FALSE), "No")</f>
        <v>YES</v>
      </c>
      <c r="Q1255" s="711"/>
      <c r="S1255" s="670" t="s">
        <v>2076</v>
      </c>
      <c r="T1255" s="668" t="s">
        <v>1061</v>
      </c>
    </row>
    <row r="1256" spans="1:20">
      <c r="A1256" s="679">
        <v>8002160</v>
      </c>
      <c r="B1256" s="677"/>
      <c r="C1256" s="672"/>
      <c r="D1256" s="672"/>
      <c r="E1256" s="676" t="s">
        <v>1157</v>
      </c>
      <c r="F1256" s="683" t="s">
        <v>2110</v>
      </c>
      <c r="G1256" s="678">
        <v>800</v>
      </c>
      <c r="H1256" s="684">
        <v>2160</v>
      </c>
      <c r="J1256" s="668" t="str">
        <f t="shared" si="207"/>
        <v>(2) Other Miscellaneous Expenditures</v>
      </c>
      <c r="L1256" s="668">
        <v>139</v>
      </c>
      <c r="M1256" s="669">
        <v>129</v>
      </c>
      <c r="N1256" s="668"/>
      <c r="O1256" s="668">
        <v>13</v>
      </c>
      <c r="P1256" s="668" t="str">
        <f>IFERROR(VLOOKUP(F1256, [2]MOE!B:C, 2, FALSE), "No")</f>
        <v>YES</v>
      </c>
      <c r="Q1256" s="711"/>
      <c r="S1256" s="670" t="s">
        <v>2076</v>
      </c>
      <c r="T1256" s="668" t="s">
        <v>1063</v>
      </c>
    </row>
    <row r="1257" spans="1:20">
      <c r="A1257" s="671"/>
      <c r="B1257" s="677"/>
      <c r="C1257" s="672"/>
      <c r="D1257" s="672" t="s">
        <v>859</v>
      </c>
      <c r="E1257" s="676" t="s">
        <v>1065</v>
      </c>
      <c r="F1257" s="675"/>
      <c r="G1257" s="672"/>
      <c r="H1257" s="676"/>
      <c r="Q1257" s="711"/>
      <c r="S1257" s="670"/>
    </row>
    <row r="1258" spans="1:20">
      <c r="A1258" s="679">
        <v>2102160</v>
      </c>
      <c r="B1258" s="677"/>
      <c r="C1258" s="672"/>
      <c r="D1258" s="672"/>
      <c r="E1258" s="676" t="s">
        <v>1159</v>
      </c>
      <c r="F1258" s="683" t="s">
        <v>2111</v>
      </c>
      <c r="G1258" s="678">
        <v>210</v>
      </c>
      <c r="H1258" s="684">
        <v>2160</v>
      </c>
      <c r="J1258" s="668" t="str">
        <f t="shared" ref="J1258:J1260" si="208">E1258</f>
        <v>(1) Group Insurance</v>
      </c>
      <c r="L1258" s="668">
        <v>89</v>
      </c>
      <c r="M1258" s="669">
        <v>84</v>
      </c>
      <c r="N1258" s="668"/>
      <c r="O1258" s="668">
        <v>13</v>
      </c>
      <c r="P1258" s="668" t="str">
        <f>IFERROR(VLOOKUP(F1258, [2]MOE!B:C, 2, FALSE), "No")</f>
        <v>YES</v>
      </c>
      <c r="Q1258" s="711" t="s">
        <v>1004</v>
      </c>
      <c r="S1258" s="670" t="s">
        <v>2076</v>
      </c>
      <c r="T1258" s="668" t="s">
        <v>1066</v>
      </c>
    </row>
    <row r="1259" spans="1:20">
      <c r="A1259" s="679">
        <v>2202160</v>
      </c>
      <c r="B1259" s="677"/>
      <c r="C1259" s="672"/>
      <c r="D1259" s="672"/>
      <c r="E1259" s="676" t="s">
        <v>1161</v>
      </c>
      <c r="F1259" s="683" t="s">
        <v>2112</v>
      </c>
      <c r="G1259" s="678">
        <v>220</v>
      </c>
      <c r="H1259" s="684">
        <v>2160</v>
      </c>
      <c r="J1259" s="668" t="str">
        <f t="shared" si="208"/>
        <v>(2) FICA</v>
      </c>
      <c r="L1259" s="668">
        <v>90</v>
      </c>
      <c r="M1259" s="669">
        <v>85</v>
      </c>
      <c r="N1259" s="668"/>
      <c r="O1259" s="668">
        <v>13</v>
      </c>
      <c r="P1259" s="668" t="str">
        <f>IFERROR(VLOOKUP(F1259, [2]MOE!B:C, 2, FALSE), "No")</f>
        <v>YES</v>
      </c>
      <c r="Q1259" s="711" t="s">
        <v>1004</v>
      </c>
      <c r="S1259" s="670" t="s">
        <v>2076</v>
      </c>
      <c r="T1259" s="668" t="s">
        <v>1068</v>
      </c>
    </row>
    <row r="1260" spans="1:20">
      <c r="A1260" s="679">
        <v>2252160</v>
      </c>
      <c r="B1260" s="677"/>
      <c r="C1260" s="672"/>
      <c r="D1260" s="672"/>
      <c r="E1260" s="676" t="s">
        <v>1163</v>
      </c>
      <c r="F1260" s="683" t="s">
        <v>2113</v>
      </c>
      <c r="G1260" s="678">
        <v>225</v>
      </c>
      <c r="H1260" s="684">
        <v>2160</v>
      </c>
      <c r="J1260" s="668" t="str">
        <f t="shared" si="208"/>
        <v>(3) Medicare</v>
      </c>
      <c r="L1260" s="668">
        <v>91</v>
      </c>
      <c r="M1260" s="669">
        <v>86</v>
      </c>
      <c r="N1260" s="668"/>
      <c r="O1260" s="668">
        <v>13</v>
      </c>
      <c r="P1260" s="668" t="str">
        <f>IFERROR(VLOOKUP(F1260, [2]MOE!B:C, 2, FALSE), "No")</f>
        <v>YES</v>
      </c>
      <c r="Q1260" s="711" t="s">
        <v>1004</v>
      </c>
      <c r="S1260" s="670" t="s">
        <v>2076</v>
      </c>
      <c r="T1260" s="668" t="s">
        <v>23</v>
      </c>
    </row>
    <row r="1261" spans="1:20">
      <c r="A1261" s="671"/>
      <c r="B1261" s="677"/>
      <c r="C1261" s="672"/>
      <c r="D1261" s="672"/>
      <c r="E1261" s="676" t="s">
        <v>1165</v>
      </c>
      <c r="F1261" s="675"/>
      <c r="G1261" s="672"/>
      <c r="H1261" s="676"/>
      <c r="Q1261" s="711"/>
      <c r="S1261" s="670"/>
    </row>
    <row r="1262" spans="1:20">
      <c r="A1262" s="679">
        <v>2312160</v>
      </c>
      <c r="B1262" s="677"/>
      <c r="C1262" s="672"/>
      <c r="D1262" s="672"/>
      <c r="E1262" s="676" t="s">
        <v>1166</v>
      </c>
      <c r="F1262" s="683" t="s">
        <v>2114</v>
      </c>
      <c r="G1262" s="678">
        <v>231</v>
      </c>
      <c r="H1262" s="684">
        <v>2160</v>
      </c>
      <c r="J1262" s="668" t="str">
        <f t="shared" ref="J1262:J1270" si="209">E1262</f>
        <v>(a) Louisiana Teachers Retirement</v>
      </c>
      <c r="L1262" s="668">
        <v>92</v>
      </c>
      <c r="M1262" s="669">
        <v>87</v>
      </c>
      <c r="N1262" s="668"/>
      <c r="O1262" s="668">
        <v>13</v>
      </c>
      <c r="P1262" s="668" t="str">
        <f>IFERROR(VLOOKUP(F1262, [2]MOE!B:C, 2, FALSE), "No")</f>
        <v>YES</v>
      </c>
      <c r="Q1262" s="711" t="s">
        <v>1004</v>
      </c>
      <c r="S1262" s="670" t="s">
        <v>2076</v>
      </c>
      <c r="T1262" s="668" t="s">
        <v>1074</v>
      </c>
    </row>
    <row r="1263" spans="1:20">
      <c r="A1263" s="679">
        <v>2332160</v>
      </c>
      <c r="B1263" s="677"/>
      <c r="C1263" s="672"/>
      <c r="D1263" s="672"/>
      <c r="E1263" s="676" t="s">
        <v>1168</v>
      </c>
      <c r="F1263" s="683" t="s">
        <v>2115</v>
      </c>
      <c r="G1263" s="678">
        <v>233</v>
      </c>
      <c r="H1263" s="684">
        <v>2160</v>
      </c>
      <c r="J1263" s="668" t="str">
        <f t="shared" si="209"/>
        <v>(b) Louisiana School Emp. Retirement</v>
      </c>
      <c r="L1263" s="668">
        <v>92</v>
      </c>
      <c r="M1263" s="669">
        <v>87</v>
      </c>
      <c r="N1263" s="668"/>
      <c r="O1263" s="668">
        <v>13</v>
      </c>
      <c r="P1263" s="668" t="str">
        <f>IFERROR(VLOOKUP(F1263, [2]MOE!B:C, 2, FALSE), "No")</f>
        <v>YES</v>
      </c>
      <c r="Q1263" s="711" t="s">
        <v>1004</v>
      </c>
      <c r="S1263" s="670" t="s">
        <v>2076</v>
      </c>
      <c r="T1263" s="668" t="s">
        <v>1170</v>
      </c>
    </row>
    <row r="1264" spans="1:20">
      <c r="A1264" s="679">
        <v>2392160</v>
      </c>
      <c r="B1264" s="677"/>
      <c r="C1264" s="672"/>
      <c r="D1264" s="672"/>
      <c r="E1264" s="676" t="s">
        <v>1171</v>
      </c>
      <c r="F1264" s="683" t="s">
        <v>2116</v>
      </c>
      <c r="G1264" s="678">
        <v>239</v>
      </c>
      <c r="H1264" s="684">
        <v>2160</v>
      </c>
      <c r="J1264" s="668" t="str">
        <f t="shared" si="209"/>
        <v>(c) Other Retirement</v>
      </c>
      <c r="L1264" s="668">
        <v>92</v>
      </c>
      <c r="M1264" s="669">
        <v>87</v>
      </c>
      <c r="N1264" s="668"/>
      <c r="O1264" s="668">
        <v>13</v>
      </c>
      <c r="P1264" s="668" t="str">
        <f>IFERROR(VLOOKUP(F1264, [2]MOE!B:C, 2, FALSE), "No")</f>
        <v>YES</v>
      </c>
      <c r="Q1264" s="711" t="s">
        <v>1004</v>
      </c>
      <c r="S1264" s="670" t="s">
        <v>2076</v>
      </c>
      <c r="T1264" s="668" t="s">
        <v>1080</v>
      </c>
    </row>
    <row r="1265" spans="1:20">
      <c r="A1265" s="679">
        <v>2502160</v>
      </c>
      <c r="B1265" s="677"/>
      <c r="C1265" s="672"/>
      <c r="D1265" s="672"/>
      <c r="E1265" s="676" t="s">
        <v>1173</v>
      </c>
      <c r="F1265" s="683" t="s">
        <v>2117</v>
      </c>
      <c r="G1265" s="678">
        <v>250</v>
      </c>
      <c r="H1265" s="684">
        <v>2160</v>
      </c>
      <c r="J1265" s="668" t="str">
        <f t="shared" si="209"/>
        <v>(5) Unemployment Compensation</v>
      </c>
      <c r="L1265" s="668">
        <v>93</v>
      </c>
      <c r="M1265" s="669">
        <v>88</v>
      </c>
      <c r="N1265" s="668"/>
      <c r="O1265" s="668">
        <v>13</v>
      </c>
      <c r="P1265" s="668" t="str">
        <f>IFERROR(VLOOKUP(F1265, [2]MOE!B:C, 2, FALSE), "No")</f>
        <v>YES</v>
      </c>
      <c r="Q1265" s="711" t="s">
        <v>1004</v>
      </c>
      <c r="S1265" s="670" t="s">
        <v>2076</v>
      </c>
      <c r="T1265" s="668" t="s">
        <v>1081</v>
      </c>
    </row>
    <row r="1266" spans="1:20">
      <c r="A1266" s="679">
        <v>2602160</v>
      </c>
      <c r="B1266" s="677"/>
      <c r="C1266" s="672"/>
      <c r="D1266" s="672"/>
      <c r="E1266" s="676" t="s">
        <v>1175</v>
      </c>
      <c r="F1266" s="683" t="s">
        <v>2118</v>
      </c>
      <c r="G1266" s="678">
        <v>260</v>
      </c>
      <c r="H1266" s="684">
        <v>2160</v>
      </c>
      <c r="J1266" s="668" t="str">
        <f t="shared" si="209"/>
        <v>(6) Workmen's Compensation</v>
      </c>
      <c r="L1266" s="668">
        <v>95</v>
      </c>
      <c r="M1266" s="669">
        <v>90</v>
      </c>
      <c r="N1266" s="668"/>
      <c r="O1266" s="668">
        <v>13</v>
      </c>
      <c r="P1266" s="668" t="str">
        <f>IFERROR(VLOOKUP(F1266, [2]MOE!B:C, 2, FALSE), "No")</f>
        <v>YES</v>
      </c>
      <c r="Q1266" s="711" t="s">
        <v>1004</v>
      </c>
      <c r="S1266" s="670" t="s">
        <v>2076</v>
      </c>
      <c r="T1266" s="668" t="s">
        <v>1083</v>
      </c>
    </row>
    <row r="1267" spans="1:20">
      <c r="A1267" s="679">
        <v>2702160</v>
      </c>
      <c r="B1267" s="677"/>
      <c r="C1267" s="672"/>
      <c r="D1267" s="672"/>
      <c r="E1267" s="676" t="s">
        <v>1177</v>
      </c>
      <c r="F1267" s="683" t="s">
        <v>2119</v>
      </c>
      <c r="G1267" s="678">
        <v>270</v>
      </c>
      <c r="H1267" s="684">
        <v>2160</v>
      </c>
      <c r="J1267" s="668" t="str">
        <f t="shared" si="209"/>
        <v>(7) Health Benefits (retirees)</v>
      </c>
      <c r="L1267" s="668">
        <v>94</v>
      </c>
      <c r="M1267" s="669">
        <v>89</v>
      </c>
      <c r="N1267" s="668"/>
      <c r="O1267" s="668">
        <v>13</v>
      </c>
      <c r="P1267" s="668" t="str">
        <f>IFERROR(VLOOKUP(F1267, [2]MOE!B:C, 2, FALSE), "No")</f>
        <v>YES</v>
      </c>
      <c r="Q1267" s="711" t="s">
        <v>1004</v>
      </c>
      <c r="S1267" s="670" t="s">
        <v>2076</v>
      </c>
      <c r="T1267" s="668" t="s">
        <v>1085</v>
      </c>
    </row>
    <row r="1268" spans="1:20">
      <c r="A1268" s="679">
        <v>2812160</v>
      </c>
      <c r="B1268" s="677"/>
      <c r="C1268" s="672"/>
      <c r="D1268" s="672"/>
      <c r="E1268" s="676" t="s">
        <v>1179</v>
      </c>
      <c r="F1268" s="683" t="s">
        <v>2120</v>
      </c>
      <c r="G1268" s="678">
        <v>281</v>
      </c>
      <c r="H1268" s="684">
        <v>2160</v>
      </c>
      <c r="J1268" s="668" t="str">
        <f t="shared" si="209"/>
        <v>(8) Sick Leave Severance Pay</v>
      </c>
      <c r="L1268" s="668">
        <v>95</v>
      </c>
      <c r="M1268" s="669">
        <v>90</v>
      </c>
      <c r="N1268" s="668"/>
      <c r="O1268" s="668">
        <v>13</v>
      </c>
      <c r="P1268" s="668" t="str">
        <f>IFERROR(VLOOKUP(F1268, [2]MOE!B:C, 2, FALSE), "No")</f>
        <v>YES</v>
      </c>
      <c r="Q1268" s="711" t="s">
        <v>1004</v>
      </c>
      <c r="S1268" s="670" t="s">
        <v>2076</v>
      </c>
      <c r="T1268" s="668" t="s">
        <v>1087</v>
      </c>
    </row>
    <row r="1269" spans="1:20">
      <c r="A1269" s="679">
        <v>2822160</v>
      </c>
      <c r="B1269" s="677"/>
      <c r="C1269" s="672"/>
      <c r="D1269" s="672"/>
      <c r="E1269" s="676" t="s">
        <v>1181</v>
      </c>
      <c r="F1269" s="683" t="s">
        <v>2121</v>
      </c>
      <c r="G1269" s="678">
        <v>282</v>
      </c>
      <c r="H1269" s="684">
        <v>2160</v>
      </c>
      <c r="J1269" s="668" t="str">
        <f t="shared" si="209"/>
        <v>(9) Annual Leave Severance Pay</v>
      </c>
      <c r="L1269" s="668">
        <v>95</v>
      </c>
      <c r="M1269" s="669">
        <v>90</v>
      </c>
      <c r="N1269" s="668"/>
      <c r="O1269" s="668">
        <v>13</v>
      </c>
      <c r="P1269" s="668" t="str">
        <f>IFERROR(VLOOKUP(F1269, [2]MOE!B:C, 2, FALSE), "No")</f>
        <v>YES</v>
      </c>
      <c r="Q1269" s="711" t="s">
        <v>1004</v>
      </c>
      <c r="S1269" s="670" t="s">
        <v>2076</v>
      </c>
      <c r="T1269" s="668" t="s">
        <v>1089</v>
      </c>
    </row>
    <row r="1270" spans="1:20">
      <c r="A1270" s="679">
        <v>2902160</v>
      </c>
      <c r="B1270" s="719"/>
      <c r="C1270" s="681"/>
      <c r="D1270" s="681"/>
      <c r="E1270" s="686" t="s">
        <v>1183</v>
      </c>
      <c r="F1270" s="680" t="s">
        <v>2122</v>
      </c>
      <c r="G1270" s="710">
        <v>290</v>
      </c>
      <c r="H1270" s="682">
        <v>2160</v>
      </c>
      <c r="J1270" s="668" t="str">
        <f t="shared" si="209"/>
        <v>(10) Other Employee Benefits</v>
      </c>
      <c r="L1270" s="668">
        <v>95</v>
      </c>
      <c r="M1270" s="669">
        <v>90</v>
      </c>
      <c r="N1270" s="668"/>
      <c r="O1270" s="668">
        <v>13</v>
      </c>
      <c r="P1270" s="668" t="str">
        <f>IFERROR(VLOOKUP(F1270, [2]MOE!B:C, 2, FALSE), "No")</f>
        <v>YES</v>
      </c>
      <c r="Q1270" s="711" t="s">
        <v>1004</v>
      </c>
      <c r="S1270" s="670" t="s">
        <v>2076</v>
      </c>
      <c r="T1270" s="668" t="s">
        <v>1092</v>
      </c>
    </row>
    <row r="1271" spans="1:20">
      <c r="A1271" s="671"/>
      <c r="B1271" s="677"/>
      <c r="C1271" s="678">
        <v>53</v>
      </c>
      <c r="D1271" s="925" t="s">
        <v>2123</v>
      </c>
      <c r="E1271" s="926"/>
      <c r="F1271" s="675"/>
      <c r="G1271" s="672"/>
      <c r="H1271" s="676"/>
      <c r="Q1271" s="711"/>
      <c r="S1271" s="670"/>
    </row>
    <row r="1272" spans="1:20">
      <c r="A1272" s="671"/>
      <c r="B1272" s="677"/>
      <c r="C1272" s="672"/>
      <c r="D1272" s="672" t="s">
        <v>759</v>
      </c>
      <c r="E1272" s="676" t="s">
        <v>244</v>
      </c>
      <c r="F1272" s="675"/>
      <c r="G1272" s="672"/>
      <c r="H1272" s="676"/>
      <c r="Q1272" s="711"/>
      <c r="S1272" s="670"/>
    </row>
    <row r="1273" spans="1:20">
      <c r="A1273" s="679">
        <v>1112170</v>
      </c>
      <c r="B1273" s="677"/>
      <c r="C1273" s="672"/>
      <c r="D1273" s="672"/>
      <c r="E1273" s="676" t="s">
        <v>2124</v>
      </c>
      <c r="F1273" s="683" t="s">
        <v>2125</v>
      </c>
      <c r="G1273" s="678">
        <v>111</v>
      </c>
      <c r="H1273" s="684">
        <v>2170</v>
      </c>
      <c r="J1273" s="668" t="str">
        <f t="shared" ref="J1273:J1278" si="210">E1273</f>
        <v>(1) Supervisor (eg, Assistive Tech Super)</v>
      </c>
      <c r="L1273" s="668">
        <v>81</v>
      </c>
      <c r="M1273" s="669">
        <v>76</v>
      </c>
      <c r="N1273" s="668"/>
      <c r="O1273" s="668">
        <v>13</v>
      </c>
      <c r="P1273" s="668" t="str">
        <f>IFERROR(VLOOKUP(F1273, [2]MOE!B:C, 2, FALSE), "No")</f>
        <v>YES</v>
      </c>
      <c r="Q1273" s="711" t="s">
        <v>1004</v>
      </c>
      <c r="S1273" s="670" t="s">
        <v>2126</v>
      </c>
      <c r="T1273" s="668" t="s">
        <v>2127</v>
      </c>
    </row>
    <row r="1274" spans="1:20">
      <c r="A1274" s="679">
        <v>1132170</v>
      </c>
      <c r="B1274" s="677"/>
      <c r="C1274" s="672"/>
      <c r="D1274" s="672"/>
      <c r="E1274" s="676" t="s">
        <v>2128</v>
      </c>
      <c r="F1274" s="683" t="s">
        <v>2129</v>
      </c>
      <c r="G1274" s="678">
        <v>113</v>
      </c>
      <c r="H1274" s="684">
        <v>2170</v>
      </c>
      <c r="J1274" s="668" t="str">
        <f t="shared" si="210"/>
        <v>(2) Therapists/Specialists</v>
      </c>
      <c r="L1274" s="668">
        <v>83</v>
      </c>
      <c r="M1274" s="669">
        <v>78</v>
      </c>
      <c r="N1274" s="668"/>
      <c r="O1274" s="668">
        <v>13</v>
      </c>
      <c r="P1274" s="668" t="str">
        <f>IFERROR(VLOOKUP(F1274, [2]MOE!B:C, 2, FALSE), "No")</f>
        <v>YES</v>
      </c>
      <c r="Q1274" s="711" t="s">
        <v>1004</v>
      </c>
      <c r="S1274" s="670" t="s">
        <v>2126</v>
      </c>
      <c r="T1274" s="668" t="s">
        <v>2130</v>
      </c>
    </row>
    <row r="1275" spans="1:20">
      <c r="A1275" s="679">
        <v>1152170</v>
      </c>
      <c r="B1275" s="677"/>
      <c r="C1275" s="672"/>
      <c r="D1275" s="672"/>
      <c r="E1275" s="676" t="s">
        <v>2131</v>
      </c>
      <c r="F1275" s="683" t="s">
        <v>2132</v>
      </c>
      <c r="G1275" s="678">
        <v>115</v>
      </c>
      <c r="H1275" s="684">
        <v>2170</v>
      </c>
      <c r="J1275" s="668" t="str">
        <f t="shared" si="210"/>
        <v>(3) Para-professionals (Aides)</v>
      </c>
      <c r="L1275" s="668">
        <v>86</v>
      </c>
      <c r="M1275" s="669">
        <v>81</v>
      </c>
      <c r="N1275" s="668"/>
      <c r="O1275" s="668">
        <v>13</v>
      </c>
      <c r="P1275" s="668" t="str">
        <f>IFERROR(VLOOKUP(F1275, [2]MOE!B:C, 2, FALSE), "No")</f>
        <v>YES</v>
      </c>
      <c r="Q1275" s="711" t="s">
        <v>1004</v>
      </c>
      <c r="S1275" s="670" t="s">
        <v>2126</v>
      </c>
      <c r="T1275" s="668" t="s">
        <v>1102</v>
      </c>
    </row>
    <row r="1276" spans="1:20">
      <c r="A1276" s="679">
        <v>1002170</v>
      </c>
      <c r="B1276" s="677"/>
      <c r="C1276" s="672"/>
      <c r="D1276" s="672"/>
      <c r="E1276" s="676" t="s">
        <v>2133</v>
      </c>
      <c r="F1276" s="683" t="s">
        <v>2134</v>
      </c>
      <c r="G1276" s="678">
        <v>100</v>
      </c>
      <c r="H1276" s="684">
        <v>2170</v>
      </c>
      <c r="J1276" s="668" t="str">
        <f t="shared" si="210"/>
        <v>(4) Other Salaries</v>
      </c>
      <c r="L1276" s="668">
        <v>86</v>
      </c>
      <c r="M1276" s="669">
        <v>81</v>
      </c>
      <c r="N1276" s="668"/>
      <c r="O1276" s="668">
        <v>13</v>
      </c>
      <c r="P1276" s="668" t="str">
        <f>IFERROR(VLOOKUP(F1276, [2]MOE!B:C, 2, FALSE), "No")</f>
        <v>YES</v>
      </c>
      <c r="Q1276" s="711" t="s">
        <v>1004</v>
      </c>
      <c r="S1276" s="670" t="s">
        <v>2126</v>
      </c>
      <c r="T1276" s="668" t="s">
        <v>1947</v>
      </c>
    </row>
    <row r="1277" spans="1:20">
      <c r="A1277" s="679">
        <v>1402170</v>
      </c>
      <c r="B1277" s="677"/>
      <c r="C1277" s="672"/>
      <c r="D1277" s="672"/>
      <c r="E1277" s="676" t="s">
        <v>1858</v>
      </c>
      <c r="F1277" s="683" t="s">
        <v>2135</v>
      </c>
      <c r="G1277" s="678">
        <v>140</v>
      </c>
      <c r="H1277" s="684">
        <v>2170</v>
      </c>
      <c r="J1277" s="668" t="str">
        <f t="shared" si="210"/>
        <v>(5) Sabbatical Leave</v>
      </c>
      <c r="L1277" s="668">
        <v>86</v>
      </c>
      <c r="M1277" s="669">
        <v>81</v>
      </c>
      <c r="N1277" s="668"/>
      <c r="O1277" s="668">
        <v>13</v>
      </c>
      <c r="P1277" s="668" t="str">
        <f>IFERROR(VLOOKUP(F1277, [2]MOE!B:C, 2, FALSE), "No")</f>
        <v>YES</v>
      </c>
      <c r="Q1277" s="711" t="s">
        <v>1004</v>
      </c>
      <c r="S1277" s="670" t="s">
        <v>2126</v>
      </c>
      <c r="T1277" s="668" t="s">
        <v>1019</v>
      </c>
    </row>
    <row r="1278" spans="1:20">
      <c r="A1278" s="679">
        <v>3002170</v>
      </c>
      <c r="B1278" s="677"/>
      <c r="C1278" s="672"/>
      <c r="D1278" s="672" t="s">
        <v>777</v>
      </c>
      <c r="E1278" s="676" t="s">
        <v>1113</v>
      </c>
      <c r="F1278" s="683" t="s">
        <v>2136</v>
      </c>
      <c r="G1278" s="678">
        <v>300</v>
      </c>
      <c r="H1278" s="684">
        <v>2170</v>
      </c>
      <c r="J1278" s="668" t="str">
        <f t="shared" si="210"/>
        <v>Purchased Professional and Technical Svcs</v>
      </c>
      <c r="L1278" s="668">
        <v>101</v>
      </c>
      <c r="M1278" s="669">
        <v>96</v>
      </c>
      <c r="N1278" s="668"/>
      <c r="O1278" s="668">
        <v>13</v>
      </c>
      <c r="P1278" s="668" t="str">
        <f>IFERROR(VLOOKUP(F1278, [2]MOE!B:C, 2, FALSE), "No")</f>
        <v>YES</v>
      </c>
      <c r="Q1278" s="711"/>
      <c r="S1278" s="670" t="s">
        <v>2126</v>
      </c>
      <c r="T1278" s="668" t="s">
        <v>1113</v>
      </c>
    </row>
    <row r="1279" spans="1:20">
      <c r="A1279" s="671"/>
      <c r="B1279" s="677"/>
      <c r="C1279" s="672"/>
      <c r="D1279" s="672" t="s">
        <v>801</v>
      </c>
      <c r="E1279" s="676" t="s">
        <v>250</v>
      </c>
      <c r="F1279" s="675"/>
      <c r="G1279" s="672"/>
      <c r="H1279" s="676"/>
      <c r="Q1279" s="711"/>
      <c r="S1279" s="670"/>
    </row>
    <row r="1280" spans="1:20">
      <c r="A1280" s="679">
        <v>4302170</v>
      </c>
      <c r="B1280" s="677"/>
      <c r="C1280" s="672"/>
      <c r="D1280" s="672"/>
      <c r="E1280" s="676" t="s">
        <v>1115</v>
      </c>
      <c r="F1280" s="683" t="s">
        <v>2137</v>
      </c>
      <c r="G1280" s="678">
        <v>430</v>
      </c>
      <c r="H1280" s="684">
        <v>2170</v>
      </c>
      <c r="J1280" s="668" t="str">
        <f t="shared" ref="J1280:J1282" si="211">E1280</f>
        <v>(1) Repairs and Maintenance Services</v>
      </c>
      <c r="L1280" s="668">
        <v>107</v>
      </c>
      <c r="M1280" s="669">
        <v>102</v>
      </c>
      <c r="N1280" s="668"/>
      <c r="O1280" s="668">
        <v>13</v>
      </c>
      <c r="P1280" s="668" t="str">
        <f>IFERROR(VLOOKUP(F1280, [2]MOE!B:C, 2, FALSE), "No")</f>
        <v>YES</v>
      </c>
      <c r="Q1280" s="711"/>
      <c r="S1280" s="670" t="s">
        <v>2126</v>
      </c>
      <c r="T1280" s="668" t="s">
        <v>1023</v>
      </c>
    </row>
    <row r="1281" spans="1:20">
      <c r="A1281" s="679">
        <v>4422170</v>
      </c>
      <c r="B1281" s="677"/>
      <c r="C1281" s="672"/>
      <c r="D1281" s="672"/>
      <c r="E1281" s="676" t="s">
        <v>1117</v>
      </c>
      <c r="F1281" s="683" t="s">
        <v>2138</v>
      </c>
      <c r="G1281" s="678">
        <v>442</v>
      </c>
      <c r="H1281" s="684">
        <v>2170</v>
      </c>
      <c r="J1281" s="668" t="str">
        <f t="shared" si="211"/>
        <v>(2) Rental of Equipment</v>
      </c>
      <c r="L1281" s="668">
        <v>106</v>
      </c>
      <c r="M1281" s="669">
        <v>101</v>
      </c>
      <c r="N1281" s="668"/>
      <c r="O1281" s="668">
        <v>13</v>
      </c>
      <c r="P1281" s="668" t="str">
        <f>IFERROR(VLOOKUP(F1281, [2]MOE!B:C, 2, FALSE), "No")</f>
        <v>YES</v>
      </c>
      <c r="Q1281" s="711"/>
      <c r="S1281" s="670" t="s">
        <v>2126</v>
      </c>
      <c r="T1281" s="668" t="s">
        <v>1025</v>
      </c>
    </row>
    <row r="1282" spans="1:20">
      <c r="A1282" s="679">
        <v>4002170</v>
      </c>
      <c r="B1282" s="677"/>
      <c r="C1282" s="672"/>
      <c r="D1282" s="672"/>
      <c r="E1282" s="676" t="s">
        <v>1119</v>
      </c>
      <c r="F1282" s="683" t="s">
        <v>2139</v>
      </c>
      <c r="G1282" s="678">
        <v>400</v>
      </c>
      <c r="H1282" s="684">
        <v>2170</v>
      </c>
      <c r="J1282" s="668" t="str">
        <f t="shared" si="211"/>
        <v>(3) Other Purchased Property Services</v>
      </c>
      <c r="L1282" s="668">
        <v>108</v>
      </c>
      <c r="M1282" s="669">
        <v>103</v>
      </c>
      <c r="N1282" s="668"/>
      <c r="O1282" s="668">
        <v>13</v>
      </c>
      <c r="P1282" s="668" t="str">
        <f>IFERROR(VLOOKUP(F1282, [2]MOE!B:C, 2, FALSE), "No")</f>
        <v>YES</v>
      </c>
      <c r="Q1282" s="711"/>
      <c r="S1282" s="670" t="s">
        <v>2126</v>
      </c>
      <c r="T1282" s="668" t="s">
        <v>1027</v>
      </c>
    </row>
    <row r="1283" spans="1:20">
      <c r="A1283" s="671"/>
      <c r="B1283" s="677"/>
      <c r="C1283" s="672"/>
      <c r="D1283" s="672" t="s">
        <v>805</v>
      </c>
      <c r="E1283" s="676" t="s">
        <v>252</v>
      </c>
      <c r="F1283" s="675"/>
      <c r="G1283" s="672"/>
      <c r="H1283" s="676"/>
      <c r="Q1283" s="711"/>
      <c r="S1283" s="670"/>
    </row>
    <row r="1284" spans="1:20">
      <c r="A1284" s="679">
        <v>5822170</v>
      </c>
      <c r="B1284" s="677"/>
      <c r="C1284" s="672"/>
      <c r="D1284" s="672"/>
      <c r="E1284" s="676" t="s">
        <v>1864</v>
      </c>
      <c r="F1284" s="683" t="s">
        <v>2140</v>
      </c>
      <c r="G1284" s="678">
        <v>582</v>
      </c>
      <c r="H1284" s="684">
        <v>2170</v>
      </c>
      <c r="J1284" s="668" t="str">
        <f t="shared" ref="J1284:J1285" si="212">E1284</f>
        <v>(1) Travel Expense Reimbursement</v>
      </c>
      <c r="L1284" s="668">
        <v>118</v>
      </c>
      <c r="M1284" s="669">
        <v>109</v>
      </c>
      <c r="N1284" s="668"/>
      <c r="O1284" s="668">
        <v>13</v>
      </c>
      <c r="P1284" s="668" t="str">
        <f>IFERROR(VLOOKUP(F1284, [2]MOE!B:C, 2, FALSE), "No")</f>
        <v>YES</v>
      </c>
      <c r="Q1284" s="711"/>
      <c r="S1284" s="670" t="s">
        <v>2126</v>
      </c>
      <c r="T1284" s="668" t="s">
        <v>1039</v>
      </c>
    </row>
    <row r="1285" spans="1:20">
      <c r="A1285" s="679">
        <v>5002170</v>
      </c>
      <c r="B1285" s="677"/>
      <c r="C1285" s="672"/>
      <c r="D1285" s="672"/>
      <c r="E1285" s="676" t="s">
        <v>1866</v>
      </c>
      <c r="F1285" s="683" t="s">
        <v>2141</v>
      </c>
      <c r="G1285" s="678">
        <v>500</v>
      </c>
      <c r="H1285" s="684">
        <v>2170</v>
      </c>
      <c r="J1285" s="668" t="str">
        <f t="shared" si="212"/>
        <v>(2) Other Purchased Services</v>
      </c>
      <c r="L1285" s="668">
        <v>119</v>
      </c>
      <c r="M1285" s="669">
        <v>110</v>
      </c>
      <c r="N1285" s="668"/>
      <c r="O1285" s="668">
        <v>13</v>
      </c>
      <c r="P1285" s="668" t="str">
        <f>IFERROR(VLOOKUP(F1285, [2]MOE!B:C, 2, FALSE), "No")</f>
        <v>YES</v>
      </c>
      <c r="Q1285" s="711"/>
      <c r="S1285" s="670" t="s">
        <v>2126</v>
      </c>
      <c r="T1285" s="668" t="s">
        <v>252</v>
      </c>
    </row>
    <row r="1286" spans="1:20">
      <c r="A1286" s="671"/>
      <c r="B1286" s="677"/>
      <c r="C1286" s="672"/>
      <c r="D1286" s="672" t="s">
        <v>850</v>
      </c>
      <c r="E1286" s="676" t="s">
        <v>2142</v>
      </c>
      <c r="F1286" s="675"/>
      <c r="G1286" s="672"/>
      <c r="H1286" s="676"/>
      <c r="Q1286" s="711"/>
      <c r="S1286" s="670"/>
    </row>
    <row r="1287" spans="1:20">
      <c r="A1287" s="679">
        <v>6152170</v>
      </c>
      <c r="B1287" s="677"/>
      <c r="C1287" s="672"/>
      <c r="D1287" s="672"/>
      <c r="E1287" s="676" t="s">
        <v>1139</v>
      </c>
      <c r="F1287" s="683" t="s">
        <v>2143</v>
      </c>
      <c r="G1287" s="678">
        <v>615</v>
      </c>
      <c r="H1287" s="684">
        <v>2170</v>
      </c>
      <c r="J1287" s="668" t="str">
        <f t="shared" ref="J1287:J1289" si="213">E1287</f>
        <v>(1) Technology-Related Supplies</v>
      </c>
      <c r="L1287" s="668">
        <v>126</v>
      </c>
      <c r="M1287" s="669">
        <v>117</v>
      </c>
      <c r="N1287" s="668"/>
      <c r="O1287" s="668">
        <v>13</v>
      </c>
      <c r="P1287" s="668" t="str">
        <f>IFERROR(VLOOKUP(F1287, [2]MOE!B:C, 2, FALSE), "No")</f>
        <v>YES</v>
      </c>
      <c r="Q1287" s="711" t="s">
        <v>1045</v>
      </c>
      <c r="S1287" s="670" t="s">
        <v>2126</v>
      </c>
      <c r="T1287" s="668" t="s">
        <v>1043</v>
      </c>
    </row>
    <row r="1288" spans="1:20">
      <c r="A1288" s="679">
        <v>6102170</v>
      </c>
      <c r="B1288" s="677"/>
      <c r="C1288" s="672"/>
      <c r="D1288" s="672"/>
      <c r="E1288" s="676" t="s">
        <v>1141</v>
      </c>
      <c r="F1288" s="683" t="s">
        <v>2144</v>
      </c>
      <c r="G1288" s="678">
        <v>610</v>
      </c>
      <c r="H1288" s="684">
        <v>2170</v>
      </c>
      <c r="J1288" s="668" t="str">
        <f t="shared" si="213"/>
        <v>(2) Materials and Supplies</v>
      </c>
      <c r="L1288" s="668">
        <v>122</v>
      </c>
      <c r="M1288" s="669">
        <v>113</v>
      </c>
      <c r="N1288" s="668"/>
      <c r="O1288" s="668">
        <v>13</v>
      </c>
      <c r="P1288" s="668" t="str">
        <f>IFERROR(VLOOKUP(F1288, [2]MOE!B:C, 2, FALSE), "No")</f>
        <v>YES</v>
      </c>
      <c r="Q1288" s="711" t="s">
        <v>1045</v>
      </c>
      <c r="S1288" s="670" t="s">
        <v>2126</v>
      </c>
      <c r="T1288" s="668" t="s">
        <v>39</v>
      </c>
    </row>
    <row r="1289" spans="1:20">
      <c r="A1289" s="679">
        <v>6002170</v>
      </c>
      <c r="B1289" s="677"/>
      <c r="C1289" s="672"/>
      <c r="D1289" s="672"/>
      <c r="E1289" s="676" t="s">
        <v>1870</v>
      </c>
      <c r="F1289" s="683" t="s">
        <v>2145</v>
      </c>
      <c r="G1289" s="678">
        <v>600</v>
      </c>
      <c r="H1289" s="684">
        <v>2170</v>
      </c>
      <c r="J1289" s="668" t="str">
        <f t="shared" si="213"/>
        <v>(3) Other Supplies</v>
      </c>
      <c r="L1289" s="668">
        <v>126</v>
      </c>
      <c r="M1289" s="669">
        <v>117</v>
      </c>
      <c r="N1289" s="668"/>
      <c r="O1289" s="668">
        <v>13</v>
      </c>
      <c r="P1289" s="668" t="str">
        <f>IFERROR(VLOOKUP(F1289, [2]MOE!B:C, 2, FALSE), "No")</f>
        <v>YES</v>
      </c>
      <c r="Q1289" s="711"/>
      <c r="S1289" s="670" t="s">
        <v>2126</v>
      </c>
      <c r="T1289" s="668" t="s">
        <v>1050</v>
      </c>
    </row>
    <row r="1290" spans="1:20">
      <c r="A1290" s="671"/>
      <c r="B1290" s="677"/>
      <c r="C1290" s="672"/>
      <c r="D1290" s="672" t="s">
        <v>853</v>
      </c>
      <c r="E1290" s="676" t="s">
        <v>1052</v>
      </c>
      <c r="F1290" s="675"/>
      <c r="G1290" s="672"/>
      <c r="H1290" s="676"/>
      <c r="Q1290" s="711"/>
      <c r="S1290" s="670"/>
    </row>
    <row r="1291" spans="1:20">
      <c r="A1291" s="679">
        <v>7342170</v>
      </c>
      <c r="B1291" s="677"/>
      <c r="C1291" s="672"/>
      <c r="D1291" s="672"/>
      <c r="E1291" s="676" t="s">
        <v>1147</v>
      </c>
      <c r="F1291" s="683" t="s">
        <v>2146</v>
      </c>
      <c r="G1291" s="678">
        <v>734</v>
      </c>
      <c r="H1291" s="684">
        <v>2170</v>
      </c>
      <c r="J1291" s="668" t="str">
        <f t="shared" ref="J1291:J1294" si="214">E1291</f>
        <v>(1) Technology-Related Hardware</v>
      </c>
      <c r="L1291" s="668">
        <v>131</v>
      </c>
      <c r="M1291" s="669">
        <v>122</v>
      </c>
      <c r="N1291" s="668"/>
      <c r="O1291" s="668">
        <v>13</v>
      </c>
      <c r="P1291" s="668" t="str">
        <f>IFERROR(VLOOKUP(F1291, [2]MOE!B:C, 2, FALSE), "No")</f>
        <v>No</v>
      </c>
      <c r="Q1291" s="711"/>
      <c r="S1291" s="670" t="s">
        <v>2126</v>
      </c>
      <c r="T1291" s="668" t="s">
        <v>1053</v>
      </c>
    </row>
    <row r="1292" spans="1:20">
      <c r="A1292" s="679">
        <v>7352170</v>
      </c>
      <c r="B1292" s="677"/>
      <c r="C1292" s="672"/>
      <c r="D1292" s="672"/>
      <c r="E1292" s="676" t="s">
        <v>1149</v>
      </c>
      <c r="F1292" s="683" t="s">
        <v>2147</v>
      </c>
      <c r="G1292" s="678">
        <v>735</v>
      </c>
      <c r="H1292" s="684">
        <v>2170</v>
      </c>
      <c r="J1292" s="668" t="str">
        <f t="shared" si="214"/>
        <v>(2) Technology Software</v>
      </c>
      <c r="L1292" s="668">
        <v>131</v>
      </c>
      <c r="M1292" s="669">
        <v>122</v>
      </c>
      <c r="N1292" s="668"/>
      <c r="O1292" s="668">
        <v>13</v>
      </c>
      <c r="P1292" s="668" t="str">
        <f>IFERROR(VLOOKUP(F1292, [2]MOE!B:C, 2, FALSE), "No")</f>
        <v>No</v>
      </c>
      <c r="Q1292" s="711"/>
      <c r="S1292" s="670" t="s">
        <v>2126</v>
      </c>
      <c r="T1292" s="668" t="s">
        <v>1055</v>
      </c>
    </row>
    <row r="1293" spans="1:20">
      <c r="A1293" s="679">
        <v>7302170</v>
      </c>
      <c r="B1293" s="677"/>
      <c r="C1293" s="672"/>
      <c r="D1293" s="672"/>
      <c r="E1293" s="676" t="s">
        <v>1151</v>
      </c>
      <c r="F1293" s="683" t="s">
        <v>2148</v>
      </c>
      <c r="G1293" s="678">
        <v>730</v>
      </c>
      <c r="H1293" s="684">
        <v>2170</v>
      </c>
      <c r="J1293" s="668" t="str">
        <f t="shared" si="214"/>
        <v>(3) All Other Equipment</v>
      </c>
      <c r="L1293" s="668">
        <v>131</v>
      </c>
      <c r="M1293" s="669">
        <v>122</v>
      </c>
      <c r="N1293" s="668"/>
      <c r="O1293" s="668">
        <v>13</v>
      </c>
      <c r="P1293" s="668" t="str">
        <f>IFERROR(VLOOKUP(F1293, [2]MOE!B:C, 2, FALSE), "No")</f>
        <v>No</v>
      </c>
      <c r="Q1293" s="711"/>
      <c r="S1293" s="670" t="s">
        <v>2126</v>
      </c>
      <c r="T1293" s="668" t="s">
        <v>1057</v>
      </c>
    </row>
    <row r="1294" spans="1:20">
      <c r="A1294" s="679">
        <v>7002170</v>
      </c>
      <c r="B1294" s="677"/>
      <c r="C1294" s="672"/>
      <c r="D1294" s="672"/>
      <c r="E1294" s="676" t="s">
        <v>1153</v>
      </c>
      <c r="F1294" s="683" t="s">
        <v>2149</v>
      </c>
      <c r="G1294" s="678">
        <v>700</v>
      </c>
      <c r="H1294" s="684">
        <v>2170</v>
      </c>
      <c r="J1294" s="668" t="str">
        <f t="shared" si="214"/>
        <v>(4) Other Property</v>
      </c>
      <c r="L1294" s="668">
        <v>132</v>
      </c>
      <c r="M1294" s="669">
        <v>123</v>
      </c>
      <c r="N1294" s="668"/>
      <c r="O1294" s="668">
        <v>13</v>
      </c>
      <c r="P1294" s="668" t="str">
        <f>IFERROR(VLOOKUP(F1294, [2]MOE!B:C, 2, FALSE), "No")</f>
        <v>No</v>
      </c>
      <c r="Q1294" s="711"/>
      <c r="S1294" s="670" t="s">
        <v>2126</v>
      </c>
      <c r="T1294" s="668" t="s">
        <v>1059</v>
      </c>
    </row>
    <row r="1295" spans="1:20">
      <c r="A1295" s="671"/>
      <c r="B1295" s="677"/>
      <c r="C1295" s="672"/>
      <c r="D1295" s="672" t="s">
        <v>856</v>
      </c>
      <c r="E1295" s="676" t="s">
        <v>256</v>
      </c>
      <c r="F1295" s="675"/>
      <c r="G1295" s="672"/>
      <c r="H1295" s="676"/>
      <c r="Q1295" s="711"/>
      <c r="S1295" s="670"/>
    </row>
    <row r="1296" spans="1:20">
      <c r="A1296" s="679">
        <v>8952170</v>
      </c>
      <c r="B1296" s="677"/>
      <c r="C1296" s="672"/>
      <c r="D1296" s="672"/>
      <c r="E1296" s="676" t="s">
        <v>1155</v>
      </c>
      <c r="F1296" s="683" t="s">
        <v>2150</v>
      </c>
      <c r="G1296" s="678">
        <v>895</v>
      </c>
      <c r="H1296" s="684">
        <v>2170</v>
      </c>
      <c r="J1296" s="668" t="str">
        <f t="shared" ref="J1296:J1297" si="215">E1296</f>
        <v>(1) Miscellaneous Non-Public Expenditures</v>
      </c>
      <c r="L1296" s="668">
        <v>139</v>
      </c>
      <c r="M1296" s="669">
        <v>129</v>
      </c>
      <c r="N1296" s="668"/>
      <c r="O1296" s="668">
        <v>13</v>
      </c>
      <c r="P1296" s="668" t="str">
        <f>IFERROR(VLOOKUP(F1296, [2]MOE!B:C, 2, FALSE), "No")</f>
        <v>YES</v>
      </c>
      <c r="Q1296" s="711"/>
      <c r="S1296" s="670" t="s">
        <v>2126</v>
      </c>
      <c r="T1296" s="668" t="s">
        <v>1061</v>
      </c>
    </row>
    <row r="1297" spans="1:20">
      <c r="A1297" s="679">
        <v>8002170</v>
      </c>
      <c r="B1297" s="677"/>
      <c r="C1297" s="672"/>
      <c r="D1297" s="672"/>
      <c r="E1297" s="676" t="s">
        <v>1157</v>
      </c>
      <c r="F1297" s="683" t="s">
        <v>2151</v>
      </c>
      <c r="G1297" s="678">
        <v>800</v>
      </c>
      <c r="H1297" s="684">
        <v>2170</v>
      </c>
      <c r="J1297" s="668" t="str">
        <f t="shared" si="215"/>
        <v>(2) Other Miscellaneous Expenditures</v>
      </c>
      <c r="L1297" s="668">
        <v>139</v>
      </c>
      <c r="M1297" s="669">
        <v>129</v>
      </c>
      <c r="N1297" s="668"/>
      <c r="O1297" s="668">
        <v>13</v>
      </c>
      <c r="P1297" s="668" t="str">
        <f>IFERROR(VLOOKUP(F1297, [2]MOE!B:C, 2, FALSE), "No")</f>
        <v>YES</v>
      </c>
      <c r="Q1297" s="711"/>
      <c r="S1297" s="670" t="s">
        <v>2126</v>
      </c>
      <c r="T1297" s="668" t="s">
        <v>1063</v>
      </c>
    </row>
    <row r="1298" spans="1:20">
      <c r="A1298" s="671"/>
      <c r="B1298" s="677"/>
      <c r="C1298" s="672"/>
      <c r="D1298" s="672" t="s">
        <v>859</v>
      </c>
      <c r="E1298" s="676" t="s">
        <v>1065</v>
      </c>
      <c r="F1298" s="675"/>
      <c r="G1298" s="672"/>
      <c r="H1298" s="676"/>
      <c r="Q1298" s="711"/>
      <c r="S1298" s="670"/>
    </row>
    <row r="1299" spans="1:20">
      <c r="A1299" s="679">
        <v>2102170</v>
      </c>
      <c r="B1299" s="677"/>
      <c r="C1299" s="672"/>
      <c r="D1299" s="672"/>
      <c r="E1299" s="676" t="s">
        <v>1159</v>
      </c>
      <c r="F1299" s="683" t="s">
        <v>2152</v>
      </c>
      <c r="G1299" s="678">
        <v>210</v>
      </c>
      <c r="H1299" s="684">
        <v>2170</v>
      </c>
      <c r="J1299" s="668" t="str">
        <f t="shared" ref="J1299:J1301" si="216">E1299</f>
        <v>(1) Group Insurance</v>
      </c>
      <c r="L1299" s="668">
        <v>89</v>
      </c>
      <c r="M1299" s="669">
        <v>84</v>
      </c>
      <c r="N1299" s="668"/>
      <c r="O1299" s="668">
        <v>13</v>
      </c>
      <c r="P1299" s="668" t="str">
        <f>IFERROR(VLOOKUP(F1299, [2]MOE!B:C, 2, FALSE), "No")</f>
        <v>YES</v>
      </c>
      <c r="Q1299" s="711" t="s">
        <v>1004</v>
      </c>
      <c r="S1299" s="670" t="s">
        <v>2126</v>
      </c>
      <c r="T1299" s="668" t="s">
        <v>1066</v>
      </c>
    </row>
    <row r="1300" spans="1:20">
      <c r="A1300" s="679">
        <v>2202170</v>
      </c>
      <c r="B1300" s="677"/>
      <c r="C1300" s="672"/>
      <c r="D1300" s="672"/>
      <c r="E1300" s="676" t="s">
        <v>1161</v>
      </c>
      <c r="F1300" s="683" t="s">
        <v>2153</v>
      </c>
      <c r="G1300" s="678">
        <v>220</v>
      </c>
      <c r="H1300" s="684">
        <v>2170</v>
      </c>
      <c r="J1300" s="668" t="str">
        <f t="shared" si="216"/>
        <v>(2) FICA</v>
      </c>
      <c r="L1300" s="668">
        <v>90</v>
      </c>
      <c r="M1300" s="669">
        <v>85</v>
      </c>
      <c r="N1300" s="668"/>
      <c r="O1300" s="668">
        <v>13</v>
      </c>
      <c r="P1300" s="668" t="str">
        <f>IFERROR(VLOOKUP(F1300, [2]MOE!B:C, 2, FALSE), "No")</f>
        <v>YES</v>
      </c>
      <c r="Q1300" s="711" t="s">
        <v>1004</v>
      </c>
      <c r="S1300" s="670" t="s">
        <v>2126</v>
      </c>
      <c r="T1300" s="668" t="s">
        <v>1068</v>
      </c>
    </row>
    <row r="1301" spans="1:20">
      <c r="A1301" s="679">
        <v>2252170</v>
      </c>
      <c r="B1301" s="677"/>
      <c r="C1301" s="672"/>
      <c r="D1301" s="672"/>
      <c r="E1301" s="676" t="s">
        <v>1163</v>
      </c>
      <c r="F1301" s="683" t="s">
        <v>2154</v>
      </c>
      <c r="G1301" s="678">
        <v>225</v>
      </c>
      <c r="H1301" s="684">
        <v>2170</v>
      </c>
      <c r="J1301" s="668" t="str">
        <f t="shared" si="216"/>
        <v>(3) Medicare</v>
      </c>
      <c r="L1301" s="668">
        <v>91</v>
      </c>
      <c r="M1301" s="669">
        <v>86</v>
      </c>
      <c r="N1301" s="668"/>
      <c r="O1301" s="668">
        <v>13</v>
      </c>
      <c r="P1301" s="668" t="str">
        <f>IFERROR(VLOOKUP(F1301, [2]MOE!B:C, 2, FALSE), "No")</f>
        <v>YES</v>
      </c>
      <c r="Q1301" s="711" t="s">
        <v>1004</v>
      </c>
      <c r="S1301" s="670" t="s">
        <v>2126</v>
      </c>
      <c r="T1301" s="668" t="s">
        <v>23</v>
      </c>
    </row>
    <row r="1302" spans="1:20">
      <c r="A1302" s="671"/>
      <c r="B1302" s="677"/>
      <c r="C1302" s="672"/>
      <c r="D1302" s="672"/>
      <c r="E1302" s="676" t="s">
        <v>1165</v>
      </c>
      <c r="F1302" s="675"/>
      <c r="G1302" s="672"/>
      <c r="H1302" s="676"/>
      <c r="Q1302" s="711"/>
      <c r="S1302" s="670"/>
    </row>
    <row r="1303" spans="1:20">
      <c r="A1303" s="679">
        <v>2312170</v>
      </c>
      <c r="B1303" s="677"/>
      <c r="C1303" s="672"/>
      <c r="D1303" s="672"/>
      <c r="E1303" s="676" t="s">
        <v>1166</v>
      </c>
      <c r="F1303" s="683" t="s">
        <v>2155</v>
      </c>
      <c r="G1303" s="678">
        <v>231</v>
      </c>
      <c r="H1303" s="684">
        <v>2170</v>
      </c>
      <c r="J1303" s="668" t="str">
        <f t="shared" ref="J1303:J1311" si="217">E1303</f>
        <v>(a) Louisiana Teachers Retirement</v>
      </c>
      <c r="L1303" s="668">
        <v>92</v>
      </c>
      <c r="M1303" s="669">
        <v>87</v>
      </c>
      <c r="N1303" s="668"/>
      <c r="O1303" s="668">
        <v>13</v>
      </c>
      <c r="P1303" s="668" t="str">
        <f>IFERROR(VLOOKUP(F1303, [2]MOE!B:C, 2, FALSE), "No")</f>
        <v>YES</v>
      </c>
      <c r="Q1303" s="711" t="s">
        <v>1004</v>
      </c>
      <c r="S1303" s="670" t="s">
        <v>2126</v>
      </c>
      <c r="T1303" s="668" t="s">
        <v>1074</v>
      </c>
    </row>
    <row r="1304" spans="1:20">
      <c r="A1304" s="679">
        <v>2332170</v>
      </c>
      <c r="B1304" s="677"/>
      <c r="C1304" s="672"/>
      <c r="D1304" s="672"/>
      <c r="E1304" s="676" t="s">
        <v>1168</v>
      </c>
      <c r="F1304" s="683" t="s">
        <v>2156</v>
      </c>
      <c r="G1304" s="678">
        <v>233</v>
      </c>
      <c r="H1304" s="684">
        <v>2170</v>
      </c>
      <c r="J1304" s="668" t="str">
        <f t="shared" si="217"/>
        <v>(b) Louisiana School Emp. Retirement</v>
      </c>
      <c r="L1304" s="668">
        <v>92</v>
      </c>
      <c r="M1304" s="669">
        <v>87</v>
      </c>
      <c r="N1304" s="668"/>
      <c r="O1304" s="668">
        <v>13</v>
      </c>
      <c r="P1304" s="668" t="str">
        <f>IFERROR(VLOOKUP(F1304, [2]MOE!B:C, 2, FALSE), "No")</f>
        <v>YES</v>
      </c>
      <c r="Q1304" s="711" t="s">
        <v>1004</v>
      </c>
      <c r="S1304" s="670" t="s">
        <v>2126</v>
      </c>
      <c r="T1304" s="668" t="s">
        <v>1170</v>
      </c>
    </row>
    <row r="1305" spans="1:20">
      <c r="A1305" s="679">
        <v>2392170</v>
      </c>
      <c r="B1305" s="677"/>
      <c r="C1305" s="672"/>
      <c r="D1305" s="672"/>
      <c r="E1305" s="676" t="s">
        <v>1171</v>
      </c>
      <c r="F1305" s="683" t="s">
        <v>2157</v>
      </c>
      <c r="G1305" s="678">
        <v>239</v>
      </c>
      <c r="H1305" s="684">
        <v>2170</v>
      </c>
      <c r="J1305" s="668" t="str">
        <f t="shared" si="217"/>
        <v>(c) Other Retirement</v>
      </c>
      <c r="L1305" s="668">
        <v>92</v>
      </c>
      <c r="M1305" s="669">
        <v>87</v>
      </c>
      <c r="N1305" s="668"/>
      <c r="O1305" s="668">
        <v>13</v>
      </c>
      <c r="P1305" s="668" t="str">
        <f>IFERROR(VLOOKUP(F1305, [2]MOE!B:C, 2, FALSE), "No")</f>
        <v>YES</v>
      </c>
      <c r="Q1305" s="711" t="s">
        <v>1004</v>
      </c>
      <c r="S1305" s="670" t="s">
        <v>2126</v>
      </c>
      <c r="T1305" s="668" t="s">
        <v>1080</v>
      </c>
    </row>
    <row r="1306" spans="1:20">
      <c r="A1306" s="679">
        <v>2502170</v>
      </c>
      <c r="B1306" s="677"/>
      <c r="C1306" s="672"/>
      <c r="D1306" s="672"/>
      <c r="E1306" s="676" t="s">
        <v>1173</v>
      </c>
      <c r="F1306" s="683" t="s">
        <v>2158</v>
      </c>
      <c r="G1306" s="678">
        <v>250</v>
      </c>
      <c r="H1306" s="684">
        <v>2170</v>
      </c>
      <c r="J1306" s="668" t="str">
        <f t="shared" si="217"/>
        <v>(5) Unemployment Compensation</v>
      </c>
      <c r="L1306" s="668">
        <v>93</v>
      </c>
      <c r="M1306" s="669">
        <v>88</v>
      </c>
      <c r="N1306" s="668"/>
      <c r="O1306" s="668">
        <v>13</v>
      </c>
      <c r="P1306" s="668" t="str">
        <f>IFERROR(VLOOKUP(F1306, [2]MOE!B:C, 2, FALSE), "No")</f>
        <v>YES</v>
      </c>
      <c r="Q1306" s="711" t="s">
        <v>1004</v>
      </c>
      <c r="S1306" s="670" t="s">
        <v>2126</v>
      </c>
      <c r="T1306" s="668" t="s">
        <v>1081</v>
      </c>
    </row>
    <row r="1307" spans="1:20">
      <c r="A1307" s="679">
        <v>2602170</v>
      </c>
      <c r="B1307" s="677"/>
      <c r="C1307" s="672"/>
      <c r="D1307" s="672"/>
      <c r="E1307" s="676" t="s">
        <v>1175</v>
      </c>
      <c r="F1307" s="683" t="s">
        <v>2159</v>
      </c>
      <c r="G1307" s="678">
        <v>260</v>
      </c>
      <c r="H1307" s="684">
        <v>2170</v>
      </c>
      <c r="J1307" s="668" t="str">
        <f t="shared" si="217"/>
        <v>(6) Workmen's Compensation</v>
      </c>
      <c r="L1307" s="668">
        <v>95</v>
      </c>
      <c r="M1307" s="669">
        <v>90</v>
      </c>
      <c r="N1307" s="668"/>
      <c r="O1307" s="668">
        <v>13</v>
      </c>
      <c r="P1307" s="668" t="str">
        <f>IFERROR(VLOOKUP(F1307, [2]MOE!B:C, 2, FALSE), "No")</f>
        <v>YES</v>
      </c>
      <c r="Q1307" s="711" t="s">
        <v>1004</v>
      </c>
      <c r="S1307" s="670" t="s">
        <v>2126</v>
      </c>
      <c r="T1307" s="668" t="s">
        <v>1083</v>
      </c>
    </row>
    <row r="1308" spans="1:20">
      <c r="A1308" s="679">
        <v>2702170</v>
      </c>
      <c r="B1308" s="677"/>
      <c r="C1308" s="672"/>
      <c r="D1308" s="672"/>
      <c r="E1308" s="676" t="s">
        <v>1177</v>
      </c>
      <c r="F1308" s="683" t="s">
        <v>2160</v>
      </c>
      <c r="G1308" s="678">
        <v>270</v>
      </c>
      <c r="H1308" s="684">
        <v>2170</v>
      </c>
      <c r="J1308" s="668" t="str">
        <f t="shared" si="217"/>
        <v>(7) Health Benefits (retirees)</v>
      </c>
      <c r="L1308" s="668">
        <v>94</v>
      </c>
      <c r="M1308" s="669">
        <v>89</v>
      </c>
      <c r="N1308" s="668"/>
      <c r="O1308" s="668">
        <v>13</v>
      </c>
      <c r="P1308" s="668" t="str">
        <f>IFERROR(VLOOKUP(F1308, [2]MOE!B:C, 2, FALSE), "No")</f>
        <v>YES</v>
      </c>
      <c r="Q1308" s="711" t="s">
        <v>1004</v>
      </c>
      <c r="S1308" s="670" t="s">
        <v>2126</v>
      </c>
      <c r="T1308" s="668" t="s">
        <v>1085</v>
      </c>
    </row>
    <row r="1309" spans="1:20">
      <c r="A1309" s="679">
        <v>2812170</v>
      </c>
      <c r="B1309" s="677"/>
      <c r="C1309" s="672"/>
      <c r="D1309" s="672"/>
      <c r="E1309" s="676" t="s">
        <v>1179</v>
      </c>
      <c r="F1309" s="683" t="s">
        <v>2161</v>
      </c>
      <c r="G1309" s="678">
        <v>281</v>
      </c>
      <c r="H1309" s="684">
        <v>2170</v>
      </c>
      <c r="J1309" s="668" t="str">
        <f t="shared" si="217"/>
        <v>(8) Sick Leave Severance Pay</v>
      </c>
      <c r="L1309" s="668">
        <v>95</v>
      </c>
      <c r="M1309" s="669">
        <v>90</v>
      </c>
      <c r="N1309" s="668"/>
      <c r="O1309" s="668">
        <v>13</v>
      </c>
      <c r="P1309" s="668" t="str">
        <f>IFERROR(VLOOKUP(F1309, [2]MOE!B:C, 2, FALSE), "No")</f>
        <v>YES</v>
      </c>
      <c r="Q1309" s="711" t="s">
        <v>1004</v>
      </c>
      <c r="S1309" s="670" t="s">
        <v>2126</v>
      </c>
      <c r="T1309" s="668" t="s">
        <v>1087</v>
      </c>
    </row>
    <row r="1310" spans="1:20">
      <c r="A1310" s="679">
        <v>2822170</v>
      </c>
      <c r="B1310" s="677"/>
      <c r="C1310" s="672"/>
      <c r="D1310" s="672"/>
      <c r="E1310" s="676" t="s">
        <v>1181</v>
      </c>
      <c r="F1310" s="683" t="s">
        <v>2162</v>
      </c>
      <c r="G1310" s="678">
        <v>282</v>
      </c>
      <c r="H1310" s="684">
        <v>2170</v>
      </c>
      <c r="J1310" s="668" t="str">
        <f t="shared" si="217"/>
        <v>(9) Annual Leave Severance Pay</v>
      </c>
      <c r="L1310" s="668">
        <v>95</v>
      </c>
      <c r="M1310" s="669">
        <v>90</v>
      </c>
      <c r="N1310" s="668"/>
      <c r="O1310" s="668">
        <v>13</v>
      </c>
      <c r="P1310" s="668" t="str">
        <f>IFERROR(VLOOKUP(F1310, [2]MOE!B:C, 2, FALSE), "No")</f>
        <v>YES</v>
      </c>
      <c r="Q1310" s="711" t="s">
        <v>1004</v>
      </c>
      <c r="S1310" s="670" t="s">
        <v>2126</v>
      </c>
      <c r="T1310" s="668" t="s">
        <v>1089</v>
      </c>
    </row>
    <row r="1311" spans="1:20">
      <c r="A1311" s="679">
        <v>2902170</v>
      </c>
      <c r="B1311" s="677"/>
      <c r="C1311" s="672"/>
      <c r="D1311" s="672"/>
      <c r="E1311" s="676" t="s">
        <v>1183</v>
      </c>
      <c r="F1311" s="683" t="s">
        <v>2163</v>
      </c>
      <c r="G1311" s="678">
        <v>290</v>
      </c>
      <c r="H1311" s="684">
        <v>2170</v>
      </c>
      <c r="J1311" s="668" t="str">
        <f t="shared" si="217"/>
        <v>(10) Other Employee Benefits</v>
      </c>
      <c r="L1311" s="668">
        <v>95</v>
      </c>
      <c r="M1311" s="669">
        <v>90</v>
      </c>
      <c r="N1311" s="668"/>
      <c r="O1311" s="668">
        <v>13</v>
      </c>
      <c r="P1311" s="668" t="str">
        <f>IFERROR(VLOOKUP(F1311, [2]MOE!B:C, 2, FALSE), "No")</f>
        <v>YES</v>
      </c>
      <c r="Q1311" s="711" t="s">
        <v>1004</v>
      </c>
      <c r="S1311" s="670" t="s">
        <v>2126</v>
      </c>
      <c r="T1311" s="668" t="s">
        <v>1092</v>
      </c>
    </row>
    <row r="1312" spans="1:20">
      <c r="A1312" s="671"/>
      <c r="B1312" s="677"/>
      <c r="C1312" s="678">
        <v>54</v>
      </c>
      <c r="D1312" s="925" t="s">
        <v>2164</v>
      </c>
      <c r="E1312" s="926"/>
      <c r="F1312" s="675"/>
      <c r="G1312" s="672"/>
      <c r="H1312" s="676"/>
      <c r="Q1312" s="711"/>
      <c r="S1312" s="670"/>
    </row>
    <row r="1313" spans="1:20">
      <c r="A1313" s="671"/>
      <c r="B1313" s="677"/>
      <c r="C1313" s="672"/>
      <c r="D1313" s="927" t="s">
        <v>2165</v>
      </c>
      <c r="E1313" s="926"/>
      <c r="F1313" s="675"/>
      <c r="G1313" s="672"/>
      <c r="H1313" s="676"/>
      <c r="Q1313" s="711"/>
      <c r="S1313" s="670"/>
    </row>
    <row r="1314" spans="1:20">
      <c r="A1314" s="671"/>
      <c r="B1314" s="677"/>
      <c r="C1314" s="672"/>
      <c r="D1314" s="672" t="s">
        <v>759</v>
      </c>
      <c r="E1314" s="676" t="s">
        <v>244</v>
      </c>
      <c r="F1314" s="675"/>
      <c r="G1314" s="672"/>
      <c r="H1314" s="676"/>
      <c r="Q1314" s="711"/>
      <c r="S1314" s="670"/>
    </row>
    <row r="1315" spans="1:20">
      <c r="A1315" s="679">
        <v>1112190</v>
      </c>
      <c r="B1315" s="677"/>
      <c r="C1315" s="672"/>
      <c r="D1315" s="672"/>
      <c r="E1315" s="676" t="s">
        <v>2166</v>
      </c>
      <c r="F1315" s="683" t="s">
        <v>2167</v>
      </c>
      <c r="G1315" s="678">
        <v>111</v>
      </c>
      <c r="H1315" s="684">
        <v>2190</v>
      </c>
      <c r="J1315" s="668" t="str">
        <f t="shared" ref="J1315:J1321" si="218">E1315</f>
        <v>(1) Other Supervisors</v>
      </c>
      <c r="L1315" s="668">
        <v>81</v>
      </c>
      <c r="M1315" s="669">
        <v>76</v>
      </c>
      <c r="N1315" s="668"/>
      <c r="O1315" s="668">
        <v>13</v>
      </c>
      <c r="P1315" s="668" t="str">
        <f>IFERROR(VLOOKUP(F1315, [2]MOE!B:C, 2, FALSE), "No")</f>
        <v>No</v>
      </c>
      <c r="Q1315" s="711" t="s">
        <v>1004</v>
      </c>
      <c r="S1315" s="670" t="s">
        <v>2168</v>
      </c>
      <c r="T1315" s="668" t="s">
        <v>2169</v>
      </c>
    </row>
    <row r="1316" spans="1:20">
      <c r="A1316" s="679">
        <v>1132190</v>
      </c>
      <c r="B1316" s="677"/>
      <c r="C1316" s="672"/>
      <c r="D1316" s="672"/>
      <c r="E1316" s="676" t="s">
        <v>2170</v>
      </c>
      <c r="F1316" s="683" t="s">
        <v>2171</v>
      </c>
      <c r="G1316" s="678">
        <v>113</v>
      </c>
      <c r="H1316" s="684">
        <v>2190</v>
      </c>
      <c r="J1316" s="668" t="str">
        <f t="shared" si="218"/>
        <v>(2) Other Therapists/Counselors</v>
      </c>
      <c r="L1316" s="668">
        <v>83</v>
      </c>
      <c r="M1316" s="669">
        <v>78</v>
      </c>
      <c r="N1316" s="668"/>
      <c r="O1316" s="668">
        <v>13</v>
      </c>
      <c r="P1316" s="668" t="str">
        <f>IFERROR(VLOOKUP(F1316, [2]MOE!B:C, 2, FALSE), "No")</f>
        <v>No</v>
      </c>
      <c r="Q1316" s="711" t="s">
        <v>1004</v>
      </c>
      <c r="S1316" s="670" t="s">
        <v>2168</v>
      </c>
      <c r="T1316" s="668" t="s">
        <v>2172</v>
      </c>
    </row>
    <row r="1317" spans="1:20">
      <c r="A1317" s="679">
        <v>1142190</v>
      </c>
      <c r="B1317" s="677"/>
      <c r="C1317" s="672"/>
      <c r="D1317" s="672"/>
      <c r="E1317" s="676" t="s">
        <v>2173</v>
      </c>
      <c r="F1317" s="683" t="s">
        <v>2174</v>
      </c>
      <c r="G1317" s="678">
        <v>114</v>
      </c>
      <c r="H1317" s="684">
        <v>2190</v>
      </c>
      <c r="J1317" s="668" t="str">
        <f t="shared" si="218"/>
        <v>(3) Other Clerical/Secretarial</v>
      </c>
      <c r="L1317" s="668">
        <v>84</v>
      </c>
      <c r="M1317" s="669">
        <v>79</v>
      </c>
      <c r="N1317" s="668"/>
      <c r="O1317" s="668">
        <v>13</v>
      </c>
      <c r="P1317" s="668" t="str">
        <f>IFERROR(VLOOKUP(F1317, [2]MOE!B:C, 2, FALSE), "No")</f>
        <v>No</v>
      </c>
      <c r="Q1317" s="711" t="s">
        <v>1004</v>
      </c>
      <c r="S1317" s="670" t="s">
        <v>2168</v>
      </c>
      <c r="T1317" s="668" t="s">
        <v>2175</v>
      </c>
    </row>
    <row r="1318" spans="1:20">
      <c r="A1318" s="679">
        <v>1202190</v>
      </c>
      <c r="B1318" s="677"/>
      <c r="C1318" s="672"/>
      <c r="D1318" s="672"/>
      <c r="E1318" s="676" t="s">
        <v>2176</v>
      </c>
      <c r="F1318" s="683" t="s">
        <v>2177</v>
      </c>
      <c r="G1318" s="678">
        <v>120</v>
      </c>
      <c r="H1318" s="684">
        <v>2190</v>
      </c>
      <c r="J1318" s="668" t="str">
        <f t="shared" si="218"/>
        <v>(4) Substitute/Temporary Employees</v>
      </c>
      <c r="L1318" s="668">
        <v>86</v>
      </c>
      <c r="M1318" s="669">
        <v>81</v>
      </c>
      <c r="N1318" s="668"/>
      <c r="O1318" s="668">
        <v>13</v>
      </c>
      <c r="P1318" s="668" t="str">
        <f>IFERROR(VLOOKUP(F1318, [2]MOE!B:C, 2, FALSE), "No")</f>
        <v>No</v>
      </c>
      <c r="Q1318" s="711" t="s">
        <v>1004</v>
      </c>
      <c r="S1318" s="670" t="s">
        <v>2168</v>
      </c>
      <c r="T1318" s="668" t="s">
        <v>2178</v>
      </c>
    </row>
    <row r="1319" spans="1:20">
      <c r="A1319" s="679">
        <v>1002190</v>
      </c>
      <c r="B1319" s="677"/>
      <c r="C1319" s="672"/>
      <c r="D1319" s="672"/>
      <c r="E1319" s="676" t="s">
        <v>2179</v>
      </c>
      <c r="F1319" s="683" t="s">
        <v>2180</v>
      </c>
      <c r="G1319" s="678">
        <v>100</v>
      </c>
      <c r="H1319" s="684">
        <v>2190</v>
      </c>
      <c r="J1319" s="668" t="str">
        <f t="shared" si="218"/>
        <v>(5) Other Salaries</v>
      </c>
      <c r="L1319" s="668">
        <v>86</v>
      </c>
      <c r="M1319" s="669">
        <v>81</v>
      </c>
      <c r="N1319" s="668"/>
      <c r="O1319" s="668">
        <v>13</v>
      </c>
      <c r="P1319" s="668" t="str">
        <f>IFERROR(VLOOKUP(F1319, [2]MOE!B:C, 2, FALSE), "No")</f>
        <v>No</v>
      </c>
      <c r="Q1319" s="711" t="s">
        <v>1004</v>
      </c>
      <c r="S1319" s="670" t="s">
        <v>2168</v>
      </c>
      <c r="T1319" s="668" t="s">
        <v>1947</v>
      </c>
    </row>
    <row r="1320" spans="1:20">
      <c r="A1320" s="679">
        <v>1402190</v>
      </c>
      <c r="B1320" s="677"/>
      <c r="C1320" s="672"/>
      <c r="D1320" s="672"/>
      <c r="E1320" s="676" t="s">
        <v>2181</v>
      </c>
      <c r="F1320" s="683" t="s">
        <v>2182</v>
      </c>
      <c r="G1320" s="678">
        <v>140</v>
      </c>
      <c r="H1320" s="684">
        <v>2190</v>
      </c>
      <c r="J1320" s="668" t="str">
        <f t="shared" si="218"/>
        <v>(6) Other Sabbatical Leave</v>
      </c>
      <c r="L1320" s="668">
        <v>86</v>
      </c>
      <c r="M1320" s="669">
        <v>81</v>
      </c>
      <c r="N1320" s="668"/>
      <c r="O1320" s="668">
        <v>13</v>
      </c>
      <c r="P1320" s="668" t="str">
        <f>IFERROR(VLOOKUP(F1320, [2]MOE!B:C, 2, FALSE), "No")</f>
        <v>No</v>
      </c>
      <c r="Q1320" s="711" t="s">
        <v>1004</v>
      </c>
      <c r="S1320" s="670" t="s">
        <v>2168</v>
      </c>
      <c r="T1320" s="668" t="s">
        <v>2183</v>
      </c>
    </row>
    <row r="1321" spans="1:20">
      <c r="A1321" s="679">
        <v>3002190</v>
      </c>
      <c r="B1321" s="719"/>
      <c r="C1321" s="681"/>
      <c r="D1321" s="681" t="s">
        <v>777</v>
      </c>
      <c r="E1321" s="686" t="s">
        <v>1113</v>
      </c>
      <c r="F1321" s="680" t="s">
        <v>2184</v>
      </c>
      <c r="G1321" s="710">
        <v>300</v>
      </c>
      <c r="H1321" s="682">
        <v>2190</v>
      </c>
      <c r="J1321" s="668" t="str">
        <f t="shared" si="218"/>
        <v>Purchased Professional and Technical Svcs</v>
      </c>
      <c r="L1321" s="668">
        <v>101</v>
      </c>
      <c r="M1321" s="669">
        <v>96</v>
      </c>
      <c r="N1321" s="668"/>
      <c r="O1321" s="668">
        <v>13</v>
      </c>
      <c r="P1321" s="668" t="str">
        <f>IFERROR(VLOOKUP(F1321, [2]MOE!B:C, 2, FALSE), "No")</f>
        <v>No</v>
      </c>
      <c r="Q1321" s="711"/>
      <c r="S1321" s="670" t="s">
        <v>2168</v>
      </c>
      <c r="T1321" s="668" t="s">
        <v>1113</v>
      </c>
    </row>
    <row r="1322" spans="1:20">
      <c r="A1322" s="671"/>
      <c r="B1322" s="677"/>
      <c r="C1322" s="672"/>
      <c r="D1322" s="672" t="s">
        <v>801</v>
      </c>
      <c r="E1322" s="676" t="s">
        <v>250</v>
      </c>
      <c r="F1322" s="675"/>
      <c r="G1322" s="672"/>
      <c r="H1322" s="676"/>
      <c r="Q1322" s="711"/>
      <c r="S1322" s="670"/>
    </row>
    <row r="1323" spans="1:20">
      <c r="A1323" s="679">
        <v>4302190</v>
      </c>
      <c r="B1323" s="677"/>
      <c r="C1323" s="672"/>
      <c r="D1323" s="672"/>
      <c r="E1323" s="676" t="s">
        <v>1115</v>
      </c>
      <c r="F1323" s="683" t="s">
        <v>2185</v>
      </c>
      <c r="G1323" s="678">
        <v>430</v>
      </c>
      <c r="H1323" s="684">
        <v>2190</v>
      </c>
      <c r="J1323" s="668" t="str">
        <f t="shared" ref="J1323:J1325" si="219">E1323</f>
        <v>(1) Repairs and Maintenance Services</v>
      </c>
      <c r="L1323" s="668">
        <v>107</v>
      </c>
      <c r="M1323" s="669">
        <v>102</v>
      </c>
      <c r="N1323" s="668"/>
      <c r="O1323" s="668">
        <v>13</v>
      </c>
      <c r="P1323" s="668" t="str">
        <f>IFERROR(VLOOKUP(F1323, [2]MOE!B:C, 2, FALSE), "No")</f>
        <v>No</v>
      </c>
      <c r="Q1323" s="711"/>
      <c r="S1323" s="670" t="s">
        <v>2168</v>
      </c>
      <c r="T1323" s="668" t="s">
        <v>1023</v>
      </c>
    </row>
    <row r="1324" spans="1:20">
      <c r="A1324" s="679">
        <v>4422190</v>
      </c>
      <c r="B1324" s="677"/>
      <c r="C1324" s="672"/>
      <c r="D1324" s="672"/>
      <c r="E1324" s="676" t="s">
        <v>1117</v>
      </c>
      <c r="F1324" s="683" t="s">
        <v>2186</v>
      </c>
      <c r="G1324" s="678">
        <v>442</v>
      </c>
      <c r="H1324" s="684">
        <v>2190</v>
      </c>
      <c r="J1324" s="668" t="str">
        <f t="shared" si="219"/>
        <v>(2) Rental of Equipment</v>
      </c>
      <c r="L1324" s="668">
        <v>106</v>
      </c>
      <c r="M1324" s="669">
        <v>101</v>
      </c>
      <c r="N1324" s="668"/>
      <c r="O1324" s="668">
        <v>13</v>
      </c>
      <c r="P1324" s="668" t="str">
        <f>IFERROR(VLOOKUP(F1324, [2]MOE!B:C, 2, FALSE), "No")</f>
        <v>No</v>
      </c>
      <c r="Q1324" s="711"/>
      <c r="S1324" s="670" t="s">
        <v>2168</v>
      </c>
      <c r="T1324" s="668" t="s">
        <v>1025</v>
      </c>
    </row>
    <row r="1325" spans="1:20">
      <c r="A1325" s="679">
        <v>4002190</v>
      </c>
      <c r="B1325" s="677"/>
      <c r="C1325" s="672"/>
      <c r="D1325" s="672"/>
      <c r="E1325" s="676" t="s">
        <v>1119</v>
      </c>
      <c r="F1325" s="683" t="s">
        <v>2187</v>
      </c>
      <c r="G1325" s="678">
        <v>400</v>
      </c>
      <c r="H1325" s="684">
        <v>2190</v>
      </c>
      <c r="J1325" s="668" t="str">
        <f t="shared" si="219"/>
        <v>(3) Other Purchased Property Services</v>
      </c>
      <c r="L1325" s="668">
        <v>108</v>
      </c>
      <c r="M1325" s="669">
        <v>103</v>
      </c>
      <c r="N1325" s="668"/>
      <c r="O1325" s="668">
        <v>13</v>
      </c>
      <c r="P1325" s="668" t="str">
        <f>IFERROR(VLOOKUP(F1325, [2]MOE!B:C, 2, FALSE), "No")</f>
        <v>No</v>
      </c>
      <c r="Q1325" s="711"/>
      <c r="S1325" s="670" t="s">
        <v>2168</v>
      </c>
      <c r="T1325" s="668" t="s">
        <v>1027</v>
      </c>
    </row>
    <row r="1326" spans="1:20">
      <c r="A1326" s="671"/>
      <c r="B1326" s="677"/>
      <c r="C1326" s="672"/>
      <c r="D1326" s="672" t="s">
        <v>805</v>
      </c>
      <c r="E1326" s="676" t="s">
        <v>252</v>
      </c>
      <c r="F1326" s="675"/>
      <c r="G1326" s="672"/>
      <c r="H1326" s="676"/>
      <c r="Q1326" s="711"/>
      <c r="S1326" s="670"/>
    </row>
    <row r="1327" spans="1:20">
      <c r="A1327" s="679">
        <v>5822190</v>
      </c>
      <c r="B1327" s="677"/>
      <c r="C1327" s="672"/>
      <c r="D1327" s="672"/>
      <c r="E1327" s="676" t="s">
        <v>1864</v>
      </c>
      <c r="F1327" s="683" t="s">
        <v>2188</v>
      </c>
      <c r="G1327" s="678">
        <v>582</v>
      </c>
      <c r="H1327" s="684">
        <v>2190</v>
      </c>
      <c r="J1327" s="668" t="str">
        <f t="shared" ref="J1327:J1328" si="220">E1327</f>
        <v>(1) Travel Expense Reimbursement</v>
      </c>
      <c r="L1327" s="668">
        <v>118</v>
      </c>
      <c r="M1327" s="669">
        <v>109</v>
      </c>
      <c r="N1327" s="668"/>
      <c r="O1327" s="668">
        <v>13</v>
      </c>
      <c r="P1327" s="668" t="str">
        <f>IFERROR(VLOOKUP(F1327, [2]MOE!B:C, 2, FALSE), "No")</f>
        <v>No</v>
      </c>
      <c r="Q1327" s="711"/>
      <c r="S1327" s="670" t="s">
        <v>2168</v>
      </c>
      <c r="T1327" s="668" t="s">
        <v>1039</v>
      </c>
    </row>
    <row r="1328" spans="1:20">
      <c r="A1328" s="679">
        <v>5002190</v>
      </c>
      <c r="B1328" s="677"/>
      <c r="C1328" s="672"/>
      <c r="D1328" s="672"/>
      <c r="E1328" s="676" t="s">
        <v>1866</v>
      </c>
      <c r="F1328" s="683" t="s">
        <v>2189</v>
      </c>
      <c r="G1328" s="678">
        <v>500</v>
      </c>
      <c r="H1328" s="684">
        <v>2190</v>
      </c>
      <c r="J1328" s="668" t="str">
        <f t="shared" si="220"/>
        <v>(2) Other Purchased Services</v>
      </c>
      <c r="L1328" s="668">
        <v>119</v>
      </c>
      <c r="M1328" s="669">
        <v>110</v>
      </c>
      <c r="N1328" s="668"/>
      <c r="O1328" s="668">
        <v>13</v>
      </c>
      <c r="P1328" s="668" t="str">
        <f>IFERROR(VLOOKUP(F1328, [2]MOE!B:C, 2, FALSE), "No")</f>
        <v>No</v>
      </c>
      <c r="Q1328" s="711"/>
      <c r="S1328" s="670" t="s">
        <v>2168</v>
      </c>
      <c r="T1328" s="668" t="s">
        <v>252</v>
      </c>
    </row>
    <row r="1329" spans="1:20">
      <c r="A1329" s="671"/>
      <c r="B1329" s="677"/>
      <c r="C1329" s="672"/>
      <c r="D1329" s="672" t="s">
        <v>850</v>
      </c>
      <c r="E1329" s="676" t="s">
        <v>254</v>
      </c>
      <c r="F1329" s="675"/>
      <c r="G1329" s="672"/>
      <c r="H1329" s="676"/>
      <c r="Q1329" s="711"/>
      <c r="S1329" s="670"/>
    </row>
    <row r="1330" spans="1:20">
      <c r="A1330" s="679">
        <v>6152190</v>
      </c>
      <c r="B1330" s="677"/>
      <c r="C1330" s="672"/>
      <c r="D1330" s="672"/>
      <c r="E1330" s="676" t="s">
        <v>1139</v>
      </c>
      <c r="F1330" s="683" t="s">
        <v>2190</v>
      </c>
      <c r="G1330" s="678">
        <v>615</v>
      </c>
      <c r="H1330" s="684">
        <v>2190</v>
      </c>
      <c r="J1330" s="668" t="str">
        <f t="shared" ref="J1330:J1332" si="221">E1330</f>
        <v>(1) Technology-Related Supplies</v>
      </c>
      <c r="L1330" s="668">
        <v>126</v>
      </c>
      <c r="M1330" s="669">
        <v>117</v>
      </c>
      <c r="N1330" s="668"/>
      <c r="O1330" s="668">
        <v>13</v>
      </c>
      <c r="P1330" s="668" t="str">
        <f>IFERROR(VLOOKUP(F1330, [2]MOE!B:C, 2, FALSE), "No")</f>
        <v>No</v>
      </c>
      <c r="Q1330" s="711" t="s">
        <v>1045</v>
      </c>
      <c r="S1330" s="670" t="s">
        <v>2168</v>
      </c>
      <c r="T1330" s="668" t="s">
        <v>1043</v>
      </c>
    </row>
    <row r="1331" spans="1:20">
      <c r="A1331" s="679">
        <v>6102190</v>
      </c>
      <c r="B1331" s="677"/>
      <c r="C1331" s="672"/>
      <c r="D1331" s="672"/>
      <c r="E1331" s="676" t="s">
        <v>1141</v>
      </c>
      <c r="F1331" s="683" t="s">
        <v>2191</v>
      </c>
      <c r="G1331" s="678">
        <v>610</v>
      </c>
      <c r="H1331" s="684">
        <v>2190</v>
      </c>
      <c r="J1331" s="668" t="str">
        <f t="shared" si="221"/>
        <v>(2) Materials and Supplies</v>
      </c>
      <c r="L1331" s="668">
        <v>122</v>
      </c>
      <c r="M1331" s="669">
        <v>113</v>
      </c>
      <c r="N1331" s="668"/>
      <c r="O1331" s="668">
        <v>13</v>
      </c>
      <c r="P1331" s="668" t="str">
        <f>IFERROR(VLOOKUP(F1331, [2]MOE!B:C, 2, FALSE), "No")</f>
        <v>No</v>
      </c>
      <c r="Q1331" s="711" t="s">
        <v>1045</v>
      </c>
      <c r="S1331" s="670" t="s">
        <v>2168</v>
      </c>
      <c r="T1331" s="668" t="s">
        <v>39</v>
      </c>
    </row>
    <row r="1332" spans="1:20">
      <c r="A1332" s="679">
        <v>6002190</v>
      </c>
      <c r="B1332" s="677"/>
      <c r="C1332" s="672"/>
      <c r="D1332" s="672"/>
      <c r="E1332" s="676" t="s">
        <v>1870</v>
      </c>
      <c r="F1332" s="683" t="s">
        <v>2192</v>
      </c>
      <c r="G1332" s="678">
        <v>600</v>
      </c>
      <c r="H1332" s="684">
        <v>2190</v>
      </c>
      <c r="J1332" s="668" t="str">
        <f t="shared" si="221"/>
        <v>(3) Other Supplies</v>
      </c>
      <c r="L1332" s="668">
        <v>126</v>
      </c>
      <c r="M1332" s="669">
        <v>117</v>
      </c>
      <c r="N1332" s="668"/>
      <c r="O1332" s="668">
        <v>13</v>
      </c>
      <c r="P1332" s="668" t="str">
        <f>IFERROR(VLOOKUP(F1332, [2]MOE!B:C, 2, FALSE), "No")</f>
        <v>No</v>
      </c>
      <c r="Q1332" s="711"/>
      <c r="S1332" s="670" t="s">
        <v>2168</v>
      </c>
      <c r="T1332" s="668" t="s">
        <v>1050</v>
      </c>
    </row>
    <row r="1333" spans="1:20">
      <c r="A1333" s="671"/>
      <c r="B1333" s="677"/>
      <c r="C1333" s="672"/>
      <c r="D1333" s="672" t="s">
        <v>853</v>
      </c>
      <c r="E1333" s="676" t="s">
        <v>1052</v>
      </c>
      <c r="F1333" s="675"/>
      <c r="G1333" s="672"/>
      <c r="H1333" s="676"/>
      <c r="Q1333" s="711"/>
      <c r="S1333" s="670"/>
    </row>
    <row r="1334" spans="1:20">
      <c r="A1334" s="679">
        <v>7342190</v>
      </c>
      <c r="B1334" s="677"/>
      <c r="C1334" s="672"/>
      <c r="D1334" s="672"/>
      <c r="E1334" s="676" t="s">
        <v>1147</v>
      </c>
      <c r="F1334" s="683" t="s">
        <v>2193</v>
      </c>
      <c r="G1334" s="678">
        <v>734</v>
      </c>
      <c r="H1334" s="684">
        <v>2190</v>
      </c>
      <c r="J1334" s="668" t="str">
        <f t="shared" ref="J1334:J1337" si="222">E1334</f>
        <v>(1) Technology-Related Hardware</v>
      </c>
      <c r="L1334" s="668">
        <v>131</v>
      </c>
      <c r="M1334" s="669">
        <v>122</v>
      </c>
      <c r="N1334" s="668"/>
      <c r="O1334" s="668">
        <v>13</v>
      </c>
      <c r="P1334" s="668" t="str">
        <f>IFERROR(VLOOKUP(F1334, [2]MOE!B:C, 2, FALSE), "No")</f>
        <v>No</v>
      </c>
      <c r="Q1334" s="711"/>
      <c r="S1334" s="670" t="s">
        <v>2168</v>
      </c>
      <c r="T1334" s="668" t="s">
        <v>1053</v>
      </c>
    </row>
    <row r="1335" spans="1:20">
      <c r="A1335" s="679">
        <v>7352190</v>
      </c>
      <c r="B1335" s="677"/>
      <c r="C1335" s="672"/>
      <c r="D1335" s="672"/>
      <c r="E1335" s="676" t="s">
        <v>1149</v>
      </c>
      <c r="F1335" s="683" t="s">
        <v>2194</v>
      </c>
      <c r="G1335" s="678">
        <v>735</v>
      </c>
      <c r="H1335" s="684">
        <v>2190</v>
      </c>
      <c r="J1335" s="668" t="str">
        <f t="shared" si="222"/>
        <v>(2) Technology Software</v>
      </c>
      <c r="L1335" s="668">
        <v>131</v>
      </c>
      <c r="M1335" s="669">
        <v>122</v>
      </c>
      <c r="N1335" s="668"/>
      <c r="O1335" s="668">
        <v>13</v>
      </c>
      <c r="P1335" s="668" t="str">
        <f>IFERROR(VLOOKUP(F1335, [2]MOE!B:C, 2, FALSE), "No")</f>
        <v>No</v>
      </c>
      <c r="Q1335" s="711"/>
      <c r="S1335" s="670" t="s">
        <v>2168</v>
      </c>
      <c r="T1335" s="668" t="s">
        <v>1055</v>
      </c>
    </row>
    <row r="1336" spans="1:20">
      <c r="A1336" s="679">
        <v>7302190</v>
      </c>
      <c r="B1336" s="677"/>
      <c r="C1336" s="672"/>
      <c r="D1336" s="672"/>
      <c r="E1336" s="676" t="s">
        <v>1151</v>
      </c>
      <c r="F1336" s="683" t="s">
        <v>2195</v>
      </c>
      <c r="G1336" s="678">
        <v>730</v>
      </c>
      <c r="H1336" s="684">
        <v>2190</v>
      </c>
      <c r="J1336" s="668" t="str">
        <f t="shared" si="222"/>
        <v>(3) All Other Equipment</v>
      </c>
      <c r="L1336" s="668">
        <v>131</v>
      </c>
      <c r="M1336" s="669">
        <v>122</v>
      </c>
      <c r="N1336" s="668"/>
      <c r="O1336" s="668">
        <v>13</v>
      </c>
      <c r="P1336" s="668" t="str">
        <f>IFERROR(VLOOKUP(F1336, [2]MOE!B:C, 2, FALSE), "No")</f>
        <v>No</v>
      </c>
      <c r="Q1336" s="711"/>
      <c r="S1336" s="670" t="s">
        <v>2168</v>
      </c>
      <c r="T1336" s="668" t="s">
        <v>1057</v>
      </c>
    </row>
    <row r="1337" spans="1:20">
      <c r="A1337" s="679">
        <v>7002190</v>
      </c>
      <c r="B1337" s="677"/>
      <c r="C1337" s="672"/>
      <c r="D1337" s="672"/>
      <c r="E1337" s="676" t="s">
        <v>1153</v>
      </c>
      <c r="F1337" s="683" t="s">
        <v>2196</v>
      </c>
      <c r="G1337" s="678">
        <v>700</v>
      </c>
      <c r="H1337" s="684">
        <v>2190</v>
      </c>
      <c r="J1337" s="668" t="str">
        <f t="shared" si="222"/>
        <v>(4) Other Property</v>
      </c>
      <c r="L1337" s="668">
        <v>132</v>
      </c>
      <c r="M1337" s="669">
        <v>123</v>
      </c>
      <c r="N1337" s="668"/>
      <c r="O1337" s="668">
        <v>13</v>
      </c>
      <c r="P1337" s="668" t="str">
        <f>IFERROR(VLOOKUP(F1337, [2]MOE!B:C, 2, FALSE), "No")</f>
        <v>No</v>
      </c>
      <c r="Q1337" s="711"/>
      <c r="S1337" s="670" t="s">
        <v>2168</v>
      </c>
      <c r="T1337" s="668" t="s">
        <v>1059</v>
      </c>
    </row>
    <row r="1338" spans="1:20">
      <c r="A1338" s="671"/>
      <c r="B1338" s="677"/>
      <c r="C1338" s="672"/>
      <c r="D1338" s="672" t="s">
        <v>856</v>
      </c>
      <c r="E1338" s="676" t="s">
        <v>256</v>
      </c>
      <c r="F1338" s="675"/>
      <c r="G1338" s="672"/>
      <c r="H1338" s="676"/>
      <c r="Q1338" s="711"/>
      <c r="S1338" s="670"/>
    </row>
    <row r="1339" spans="1:20">
      <c r="A1339" s="679">
        <v>8952190</v>
      </c>
      <c r="B1339" s="677"/>
      <c r="C1339" s="672"/>
      <c r="D1339" s="672"/>
      <c r="E1339" s="676" t="s">
        <v>1155</v>
      </c>
      <c r="F1339" s="683" t="s">
        <v>2197</v>
      </c>
      <c r="G1339" s="678">
        <v>895</v>
      </c>
      <c r="H1339" s="684">
        <v>2190</v>
      </c>
      <c r="J1339" s="668" t="str">
        <f t="shared" ref="J1339:J1340" si="223">E1339</f>
        <v>(1) Miscellaneous Non-Public Expenditures</v>
      </c>
      <c r="L1339" s="668">
        <v>139</v>
      </c>
      <c r="M1339" s="669">
        <v>129</v>
      </c>
      <c r="N1339" s="668"/>
      <c r="O1339" s="668">
        <v>13</v>
      </c>
      <c r="P1339" s="668" t="str">
        <f>IFERROR(VLOOKUP(F1339, [2]MOE!B:C, 2, FALSE), "No")</f>
        <v>No</v>
      </c>
      <c r="Q1339" s="711"/>
      <c r="S1339" s="670" t="s">
        <v>2168</v>
      </c>
      <c r="T1339" s="668" t="s">
        <v>1061</v>
      </c>
    </row>
    <row r="1340" spans="1:20">
      <c r="A1340" s="679">
        <v>8002190</v>
      </c>
      <c r="B1340" s="677"/>
      <c r="C1340" s="672"/>
      <c r="D1340" s="672"/>
      <c r="E1340" s="676" t="s">
        <v>1157</v>
      </c>
      <c r="F1340" s="683" t="s">
        <v>2198</v>
      </c>
      <c r="G1340" s="678">
        <v>800</v>
      </c>
      <c r="H1340" s="684">
        <v>2190</v>
      </c>
      <c r="J1340" s="668" t="str">
        <f t="shared" si="223"/>
        <v>(2) Other Miscellaneous Expenditures</v>
      </c>
      <c r="L1340" s="668">
        <v>139</v>
      </c>
      <c r="M1340" s="669">
        <v>129</v>
      </c>
      <c r="N1340" s="668"/>
      <c r="O1340" s="668">
        <v>13</v>
      </c>
      <c r="P1340" s="668" t="str">
        <f>IFERROR(VLOOKUP(F1340, [2]MOE!B:C, 2, FALSE), "No")</f>
        <v>No</v>
      </c>
      <c r="Q1340" s="711"/>
      <c r="S1340" s="670" t="s">
        <v>2168</v>
      </c>
      <c r="T1340" s="668" t="s">
        <v>1063</v>
      </c>
    </row>
    <row r="1341" spans="1:20">
      <c r="A1341" s="671"/>
      <c r="B1341" s="677"/>
      <c r="C1341" s="672"/>
      <c r="D1341" s="672" t="s">
        <v>859</v>
      </c>
      <c r="E1341" s="676" t="s">
        <v>1065</v>
      </c>
      <c r="F1341" s="675"/>
      <c r="G1341" s="672"/>
      <c r="H1341" s="676"/>
      <c r="Q1341" s="711"/>
      <c r="S1341" s="670"/>
    </row>
    <row r="1342" spans="1:20">
      <c r="A1342" s="679">
        <v>2102190</v>
      </c>
      <c r="B1342" s="677"/>
      <c r="C1342" s="672"/>
      <c r="D1342" s="672"/>
      <c r="E1342" s="676" t="s">
        <v>1159</v>
      </c>
      <c r="F1342" s="683" t="s">
        <v>2199</v>
      </c>
      <c r="G1342" s="678">
        <v>210</v>
      </c>
      <c r="H1342" s="684">
        <v>2190</v>
      </c>
      <c r="J1342" s="668" t="str">
        <f t="shared" ref="J1342:J1344" si="224">E1342</f>
        <v>(1) Group Insurance</v>
      </c>
      <c r="L1342" s="668">
        <v>89</v>
      </c>
      <c r="M1342" s="669">
        <v>84</v>
      </c>
      <c r="N1342" s="668"/>
      <c r="O1342" s="668">
        <v>13</v>
      </c>
      <c r="P1342" s="668" t="str">
        <f>IFERROR(VLOOKUP(F1342, [2]MOE!B:C, 2, FALSE), "No")</f>
        <v>No</v>
      </c>
      <c r="Q1342" s="711" t="s">
        <v>1004</v>
      </c>
      <c r="S1342" s="670" t="s">
        <v>2168</v>
      </c>
      <c r="T1342" s="668" t="s">
        <v>1066</v>
      </c>
    </row>
    <row r="1343" spans="1:20">
      <c r="A1343" s="679">
        <v>2202190</v>
      </c>
      <c r="B1343" s="677"/>
      <c r="C1343" s="672"/>
      <c r="D1343" s="672"/>
      <c r="E1343" s="676" t="s">
        <v>1161</v>
      </c>
      <c r="F1343" s="683" t="s">
        <v>2200</v>
      </c>
      <c r="G1343" s="678">
        <v>220</v>
      </c>
      <c r="H1343" s="684">
        <v>2190</v>
      </c>
      <c r="J1343" s="668" t="str">
        <f t="shared" si="224"/>
        <v>(2) FICA</v>
      </c>
      <c r="L1343" s="668">
        <v>90</v>
      </c>
      <c r="M1343" s="669">
        <v>85</v>
      </c>
      <c r="N1343" s="668"/>
      <c r="O1343" s="668">
        <v>13</v>
      </c>
      <c r="P1343" s="668" t="str">
        <f>IFERROR(VLOOKUP(F1343, [2]MOE!B:C, 2, FALSE), "No")</f>
        <v>No</v>
      </c>
      <c r="Q1343" s="711" t="s">
        <v>1004</v>
      </c>
      <c r="S1343" s="670" t="s">
        <v>2168</v>
      </c>
      <c r="T1343" s="668" t="s">
        <v>1068</v>
      </c>
    </row>
    <row r="1344" spans="1:20">
      <c r="A1344" s="679">
        <v>2252190</v>
      </c>
      <c r="B1344" s="677"/>
      <c r="C1344" s="672"/>
      <c r="D1344" s="672"/>
      <c r="E1344" s="676" t="s">
        <v>1163</v>
      </c>
      <c r="F1344" s="683" t="s">
        <v>2201</v>
      </c>
      <c r="G1344" s="678">
        <v>225</v>
      </c>
      <c r="H1344" s="684">
        <v>2190</v>
      </c>
      <c r="J1344" s="668" t="str">
        <f t="shared" si="224"/>
        <v>(3) Medicare</v>
      </c>
      <c r="L1344" s="668">
        <v>91</v>
      </c>
      <c r="M1344" s="669">
        <v>86</v>
      </c>
      <c r="N1344" s="668"/>
      <c r="O1344" s="668">
        <v>13</v>
      </c>
      <c r="P1344" s="668" t="str">
        <f>IFERROR(VLOOKUP(F1344, [2]MOE!B:C, 2, FALSE), "No")</f>
        <v>No</v>
      </c>
      <c r="Q1344" s="711" t="s">
        <v>1004</v>
      </c>
      <c r="S1344" s="670" t="s">
        <v>2168</v>
      </c>
      <c r="T1344" s="668" t="s">
        <v>23</v>
      </c>
    </row>
    <row r="1345" spans="1:20">
      <c r="A1345" s="671"/>
      <c r="B1345" s="677"/>
      <c r="C1345" s="672"/>
      <c r="D1345" s="672"/>
      <c r="E1345" s="676" t="s">
        <v>1165</v>
      </c>
      <c r="F1345" s="675"/>
      <c r="G1345" s="672"/>
      <c r="H1345" s="676"/>
      <c r="Q1345" s="711"/>
      <c r="S1345" s="670"/>
    </row>
    <row r="1346" spans="1:20">
      <c r="A1346" s="679">
        <v>2312190</v>
      </c>
      <c r="B1346" s="677"/>
      <c r="C1346" s="672"/>
      <c r="D1346" s="672"/>
      <c r="E1346" s="676" t="s">
        <v>1166</v>
      </c>
      <c r="F1346" s="683" t="s">
        <v>2202</v>
      </c>
      <c r="G1346" s="678">
        <v>231</v>
      </c>
      <c r="H1346" s="684">
        <v>2190</v>
      </c>
      <c r="J1346" s="668" t="str">
        <f t="shared" ref="J1346:J1354" si="225">E1346</f>
        <v>(a) Louisiana Teachers Retirement</v>
      </c>
      <c r="L1346" s="668">
        <v>92</v>
      </c>
      <c r="M1346" s="669">
        <v>87</v>
      </c>
      <c r="N1346" s="668"/>
      <c r="O1346" s="668">
        <v>13</v>
      </c>
      <c r="P1346" s="668" t="str">
        <f>IFERROR(VLOOKUP(F1346, [2]MOE!B:C, 2, FALSE), "No")</f>
        <v>No</v>
      </c>
      <c r="Q1346" s="711" t="s">
        <v>1004</v>
      </c>
      <c r="S1346" s="670" t="s">
        <v>2168</v>
      </c>
      <c r="T1346" s="668" t="s">
        <v>1074</v>
      </c>
    </row>
    <row r="1347" spans="1:20">
      <c r="A1347" s="679">
        <v>2332190</v>
      </c>
      <c r="B1347" s="677"/>
      <c r="C1347" s="672"/>
      <c r="D1347" s="672"/>
      <c r="E1347" s="676" t="s">
        <v>1168</v>
      </c>
      <c r="F1347" s="683" t="s">
        <v>2203</v>
      </c>
      <c r="G1347" s="678">
        <v>233</v>
      </c>
      <c r="H1347" s="684">
        <v>2190</v>
      </c>
      <c r="J1347" s="668" t="str">
        <f t="shared" si="225"/>
        <v>(b) Louisiana School Emp. Retirement</v>
      </c>
      <c r="L1347" s="668">
        <v>92</v>
      </c>
      <c r="M1347" s="669">
        <v>87</v>
      </c>
      <c r="N1347" s="668"/>
      <c r="O1347" s="668">
        <v>13</v>
      </c>
      <c r="P1347" s="668" t="str">
        <f>IFERROR(VLOOKUP(F1347, [2]MOE!B:C, 2, FALSE), "No")</f>
        <v>No</v>
      </c>
      <c r="Q1347" s="711" t="s">
        <v>1004</v>
      </c>
      <c r="S1347" s="670" t="s">
        <v>2168</v>
      </c>
      <c r="T1347" s="668" t="s">
        <v>1170</v>
      </c>
    </row>
    <row r="1348" spans="1:20">
      <c r="A1348" s="679">
        <v>2392190</v>
      </c>
      <c r="B1348" s="677"/>
      <c r="C1348" s="672"/>
      <c r="D1348" s="672"/>
      <c r="E1348" s="676" t="s">
        <v>1171</v>
      </c>
      <c r="F1348" s="683" t="s">
        <v>2204</v>
      </c>
      <c r="G1348" s="678">
        <v>239</v>
      </c>
      <c r="H1348" s="684">
        <v>2190</v>
      </c>
      <c r="J1348" s="668" t="str">
        <f t="shared" si="225"/>
        <v>(c) Other Retirement</v>
      </c>
      <c r="L1348" s="668">
        <v>92</v>
      </c>
      <c r="M1348" s="669">
        <v>87</v>
      </c>
      <c r="N1348" s="668"/>
      <c r="O1348" s="668">
        <v>13</v>
      </c>
      <c r="P1348" s="668" t="str">
        <f>IFERROR(VLOOKUP(F1348, [2]MOE!B:C, 2, FALSE), "No")</f>
        <v>No</v>
      </c>
      <c r="Q1348" s="711" t="s">
        <v>1004</v>
      </c>
      <c r="S1348" s="670" t="s">
        <v>2168</v>
      </c>
      <c r="T1348" s="668" t="s">
        <v>1080</v>
      </c>
    </row>
    <row r="1349" spans="1:20">
      <c r="A1349" s="679">
        <v>2502190</v>
      </c>
      <c r="B1349" s="677"/>
      <c r="C1349" s="672"/>
      <c r="D1349" s="672"/>
      <c r="E1349" s="676" t="s">
        <v>1173</v>
      </c>
      <c r="F1349" s="683" t="s">
        <v>2205</v>
      </c>
      <c r="G1349" s="678">
        <v>250</v>
      </c>
      <c r="H1349" s="684">
        <v>2190</v>
      </c>
      <c r="J1349" s="668" t="str">
        <f t="shared" si="225"/>
        <v>(5) Unemployment Compensation</v>
      </c>
      <c r="L1349" s="668">
        <v>93</v>
      </c>
      <c r="M1349" s="669">
        <v>88</v>
      </c>
      <c r="N1349" s="668"/>
      <c r="O1349" s="668">
        <v>13</v>
      </c>
      <c r="P1349" s="668" t="str">
        <f>IFERROR(VLOOKUP(F1349, [2]MOE!B:C, 2, FALSE), "No")</f>
        <v>No</v>
      </c>
      <c r="Q1349" s="711" t="s">
        <v>1004</v>
      </c>
      <c r="S1349" s="670" t="s">
        <v>2168</v>
      </c>
      <c r="T1349" s="668" t="s">
        <v>1081</v>
      </c>
    </row>
    <row r="1350" spans="1:20">
      <c r="A1350" s="679">
        <v>2602190</v>
      </c>
      <c r="B1350" s="677"/>
      <c r="C1350" s="672"/>
      <c r="D1350" s="672"/>
      <c r="E1350" s="676" t="s">
        <v>1175</v>
      </c>
      <c r="F1350" s="683" t="s">
        <v>2206</v>
      </c>
      <c r="G1350" s="678">
        <v>260</v>
      </c>
      <c r="H1350" s="684">
        <v>2190</v>
      </c>
      <c r="J1350" s="668" t="str">
        <f t="shared" si="225"/>
        <v>(6) Workmen's Compensation</v>
      </c>
      <c r="L1350" s="668">
        <v>95</v>
      </c>
      <c r="M1350" s="669">
        <v>90</v>
      </c>
      <c r="N1350" s="668"/>
      <c r="O1350" s="668">
        <v>13</v>
      </c>
      <c r="P1350" s="668" t="str">
        <f>IFERROR(VLOOKUP(F1350, [2]MOE!B:C, 2, FALSE), "No")</f>
        <v>No</v>
      </c>
      <c r="Q1350" s="711" t="s">
        <v>1004</v>
      </c>
      <c r="S1350" s="670" t="s">
        <v>2168</v>
      </c>
      <c r="T1350" s="668" t="s">
        <v>1083</v>
      </c>
    </row>
    <row r="1351" spans="1:20">
      <c r="A1351" s="679">
        <v>2702190</v>
      </c>
      <c r="B1351" s="677"/>
      <c r="C1351" s="672"/>
      <c r="D1351" s="672"/>
      <c r="E1351" s="676" t="s">
        <v>1177</v>
      </c>
      <c r="F1351" s="683" t="s">
        <v>2207</v>
      </c>
      <c r="G1351" s="678">
        <v>270</v>
      </c>
      <c r="H1351" s="684">
        <v>2190</v>
      </c>
      <c r="J1351" s="668" t="str">
        <f t="shared" si="225"/>
        <v>(7) Health Benefits (retirees)</v>
      </c>
      <c r="L1351" s="668">
        <v>94</v>
      </c>
      <c r="M1351" s="669">
        <v>89</v>
      </c>
      <c r="N1351" s="668"/>
      <c r="O1351" s="668">
        <v>13</v>
      </c>
      <c r="P1351" s="668" t="str">
        <f>IFERROR(VLOOKUP(F1351, [2]MOE!B:C, 2, FALSE), "No")</f>
        <v>No</v>
      </c>
      <c r="Q1351" s="711" t="s">
        <v>1004</v>
      </c>
      <c r="S1351" s="670" t="s">
        <v>2168</v>
      </c>
      <c r="T1351" s="668" t="s">
        <v>1085</v>
      </c>
    </row>
    <row r="1352" spans="1:20">
      <c r="A1352" s="679">
        <v>2812190</v>
      </c>
      <c r="B1352" s="677"/>
      <c r="C1352" s="672"/>
      <c r="D1352" s="672"/>
      <c r="E1352" s="676" t="s">
        <v>1179</v>
      </c>
      <c r="F1352" s="683" t="s">
        <v>2208</v>
      </c>
      <c r="G1352" s="678">
        <v>281</v>
      </c>
      <c r="H1352" s="684">
        <v>2190</v>
      </c>
      <c r="J1352" s="668" t="str">
        <f t="shared" si="225"/>
        <v>(8) Sick Leave Severance Pay</v>
      </c>
      <c r="L1352" s="668">
        <v>95</v>
      </c>
      <c r="M1352" s="669">
        <v>90</v>
      </c>
      <c r="N1352" s="668"/>
      <c r="O1352" s="668">
        <v>13</v>
      </c>
      <c r="P1352" s="668" t="str">
        <f>IFERROR(VLOOKUP(F1352, [2]MOE!B:C, 2, FALSE), "No")</f>
        <v>No</v>
      </c>
      <c r="Q1352" s="711" t="s">
        <v>1004</v>
      </c>
      <c r="S1352" s="670" t="s">
        <v>2168</v>
      </c>
      <c r="T1352" s="668" t="s">
        <v>1087</v>
      </c>
    </row>
    <row r="1353" spans="1:20">
      <c r="A1353" s="679">
        <v>2822190</v>
      </c>
      <c r="B1353" s="677"/>
      <c r="C1353" s="672"/>
      <c r="D1353" s="672"/>
      <c r="E1353" s="676" t="s">
        <v>1181</v>
      </c>
      <c r="F1353" s="683" t="s">
        <v>2209</v>
      </c>
      <c r="G1353" s="678">
        <v>282</v>
      </c>
      <c r="H1353" s="684">
        <v>2190</v>
      </c>
      <c r="J1353" s="668" t="str">
        <f t="shared" si="225"/>
        <v>(9) Annual Leave Severance Pay</v>
      </c>
      <c r="L1353" s="668">
        <v>95</v>
      </c>
      <c r="M1353" s="669">
        <v>90</v>
      </c>
      <c r="N1353" s="668"/>
      <c r="O1353" s="668">
        <v>13</v>
      </c>
      <c r="P1353" s="668" t="str">
        <f>IFERROR(VLOOKUP(F1353, [2]MOE!B:C, 2, FALSE), "No")</f>
        <v>No</v>
      </c>
      <c r="Q1353" s="711" t="s">
        <v>1004</v>
      </c>
      <c r="S1353" s="670" t="s">
        <v>2168</v>
      </c>
      <c r="T1353" s="668" t="s">
        <v>1089</v>
      </c>
    </row>
    <row r="1354" spans="1:20" ht="16" thickBot="1">
      <c r="A1354" s="679">
        <v>2902190</v>
      </c>
      <c r="B1354" s="716"/>
      <c r="C1354" s="672"/>
      <c r="D1354" s="672"/>
      <c r="E1354" s="676" t="s">
        <v>1183</v>
      </c>
      <c r="F1354" s="683" t="s">
        <v>2210</v>
      </c>
      <c r="G1354" s="678">
        <v>290</v>
      </c>
      <c r="H1354" s="684">
        <v>2190</v>
      </c>
      <c r="J1354" s="668" t="str">
        <f t="shared" si="225"/>
        <v>(10) Other Employee Benefits</v>
      </c>
      <c r="L1354" s="668">
        <v>95</v>
      </c>
      <c r="M1354" s="669">
        <v>90</v>
      </c>
      <c r="N1354" s="668"/>
      <c r="O1354" s="668">
        <v>13</v>
      </c>
      <c r="P1354" s="668" t="str">
        <f>IFERROR(VLOOKUP(F1354, [2]MOE!B:C, 2, FALSE), "No")</f>
        <v>No</v>
      </c>
      <c r="Q1354" s="711" t="s">
        <v>1004</v>
      </c>
      <c r="S1354" s="670" t="s">
        <v>2168</v>
      </c>
      <c r="T1354" s="668" t="s">
        <v>1092</v>
      </c>
    </row>
    <row r="1355" spans="1:20" ht="16.5" thickTop="1" thickBot="1">
      <c r="A1355" s="671"/>
      <c r="B1355" s="663"/>
      <c r="C1355" s="929" t="s">
        <v>2211</v>
      </c>
      <c r="D1355" s="930"/>
      <c r="E1355" s="932"/>
      <c r="F1355" s="705" t="s">
        <v>627</v>
      </c>
      <c r="G1355" s="706"/>
      <c r="H1355" s="707"/>
      <c r="Q1355" s="711"/>
      <c r="S1355" s="670"/>
    </row>
    <row r="1356" spans="1:20" ht="16" thickTop="1">
      <c r="A1356" s="671"/>
      <c r="B1356" s="672"/>
      <c r="C1356" s="672"/>
      <c r="D1356" s="672"/>
      <c r="E1356" s="676"/>
      <c r="F1356" s="675"/>
      <c r="G1356" s="672"/>
      <c r="H1356" s="676"/>
      <c r="Q1356" s="711"/>
      <c r="S1356" s="670"/>
    </row>
    <row r="1357" spans="1:20">
      <c r="A1357" s="671"/>
      <c r="B1357" s="677" t="s">
        <v>1095</v>
      </c>
      <c r="C1357" s="928" t="s">
        <v>696</v>
      </c>
      <c r="D1357" s="795"/>
      <c r="E1357" s="926"/>
      <c r="F1357" s="675"/>
      <c r="G1357" s="672"/>
      <c r="H1357" s="676"/>
      <c r="Q1357" s="711"/>
      <c r="S1357" s="670"/>
    </row>
    <row r="1358" spans="1:20">
      <c r="A1358" s="671"/>
      <c r="B1358" s="677"/>
      <c r="C1358" s="678">
        <v>55</v>
      </c>
      <c r="D1358" s="925" t="s">
        <v>2212</v>
      </c>
      <c r="E1358" s="926"/>
      <c r="F1358" s="675"/>
      <c r="G1358" s="672"/>
      <c r="H1358" s="676"/>
      <c r="Q1358" s="711"/>
      <c r="S1358" s="670"/>
    </row>
    <row r="1359" spans="1:20">
      <c r="A1359" s="671"/>
      <c r="B1359" s="677"/>
      <c r="C1359" s="672"/>
      <c r="D1359" s="672" t="s">
        <v>759</v>
      </c>
      <c r="E1359" s="676" t="s">
        <v>2213</v>
      </c>
      <c r="F1359" s="675"/>
      <c r="G1359" s="672"/>
      <c r="H1359" s="676"/>
      <c r="Q1359" s="711"/>
      <c r="S1359" s="670"/>
    </row>
    <row r="1360" spans="1:20">
      <c r="A1360" s="671"/>
      <c r="B1360" s="677"/>
      <c r="C1360" s="672"/>
      <c r="D1360" s="672"/>
      <c r="E1360" s="676" t="s">
        <v>2214</v>
      </c>
      <c r="F1360" s="675"/>
      <c r="G1360" s="672"/>
      <c r="H1360" s="676"/>
      <c r="Q1360" s="711"/>
      <c r="S1360" s="670"/>
    </row>
    <row r="1361" spans="1:20">
      <c r="A1361" s="679">
        <v>1112211</v>
      </c>
      <c r="B1361" s="677"/>
      <c r="C1361" s="672"/>
      <c r="D1361" s="672"/>
      <c r="E1361" s="676" t="s">
        <v>2215</v>
      </c>
      <c r="F1361" s="680" t="s">
        <v>2216</v>
      </c>
      <c r="G1361" s="710">
        <v>111</v>
      </c>
      <c r="H1361" s="682">
        <v>2211</v>
      </c>
      <c r="J1361" s="668" t="str">
        <f t="shared" ref="J1361:J1366" si="226">E1361</f>
        <v>(a) Director/Supervisors</v>
      </c>
      <c r="L1361" s="668">
        <v>81</v>
      </c>
      <c r="M1361" s="669">
        <v>76</v>
      </c>
      <c r="N1361" s="668"/>
      <c r="O1361" s="668">
        <v>14</v>
      </c>
      <c r="P1361" s="668" t="str">
        <f>IFERROR(VLOOKUP(F1361, [2]MOE!B:C, 2, FALSE), "No")</f>
        <v>No</v>
      </c>
      <c r="Q1361" s="711" t="s">
        <v>1004</v>
      </c>
      <c r="S1361" s="670" t="s">
        <v>2217</v>
      </c>
      <c r="T1361" s="668" t="s">
        <v>2218</v>
      </c>
    </row>
    <row r="1362" spans="1:20">
      <c r="A1362" s="679">
        <v>1132211</v>
      </c>
      <c r="B1362" s="677"/>
      <c r="C1362" s="672"/>
      <c r="D1362" s="672"/>
      <c r="E1362" s="676" t="s">
        <v>2219</v>
      </c>
      <c r="F1362" s="680" t="s">
        <v>2220</v>
      </c>
      <c r="G1362" s="710">
        <v>113</v>
      </c>
      <c r="H1362" s="682">
        <v>2211</v>
      </c>
      <c r="J1362" s="668" t="str">
        <f t="shared" si="226"/>
        <v>(b) Specialists</v>
      </c>
      <c r="L1362" s="668">
        <v>83</v>
      </c>
      <c r="M1362" s="669">
        <v>78</v>
      </c>
      <c r="N1362" s="668"/>
      <c r="O1362" s="668">
        <v>14</v>
      </c>
      <c r="P1362" s="668" t="str">
        <f>IFERROR(VLOOKUP(F1362, [2]MOE!B:C, 2, FALSE), "No")</f>
        <v>No</v>
      </c>
      <c r="Q1362" s="711" t="s">
        <v>1004</v>
      </c>
      <c r="S1362" s="670" t="s">
        <v>2217</v>
      </c>
      <c r="T1362" s="668" t="s">
        <v>2221</v>
      </c>
    </row>
    <row r="1363" spans="1:20">
      <c r="A1363" s="679">
        <v>1142211</v>
      </c>
      <c r="B1363" s="677"/>
      <c r="C1363" s="672"/>
      <c r="D1363" s="672"/>
      <c r="E1363" s="676" t="s">
        <v>2222</v>
      </c>
      <c r="F1363" s="680" t="s">
        <v>2223</v>
      </c>
      <c r="G1363" s="710">
        <v>114</v>
      </c>
      <c r="H1363" s="682">
        <v>2211</v>
      </c>
      <c r="J1363" s="668" t="str">
        <f t="shared" si="226"/>
        <v>(c) Clerical/Secretarial</v>
      </c>
      <c r="L1363" s="668">
        <v>84</v>
      </c>
      <c r="M1363" s="669">
        <v>79</v>
      </c>
      <c r="N1363" s="668"/>
      <c r="O1363" s="668">
        <v>14</v>
      </c>
      <c r="P1363" s="668" t="str">
        <f>IFERROR(VLOOKUP(F1363, [2]MOE!B:C, 2, FALSE), "No")</f>
        <v>No</v>
      </c>
      <c r="Q1363" s="711" t="s">
        <v>1004</v>
      </c>
      <c r="S1363" s="670" t="s">
        <v>2217</v>
      </c>
      <c r="T1363" s="668" t="s">
        <v>1854</v>
      </c>
    </row>
    <row r="1364" spans="1:20">
      <c r="A1364" s="679">
        <v>1002211</v>
      </c>
      <c r="B1364" s="677"/>
      <c r="C1364" s="672"/>
      <c r="D1364" s="672"/>
      <c r="E1364" s="676" t="s">
        <v>2224</v>
      </c>
      <c r="F1364" s="680" t="s">
        <v>2225</v>
      </c>
      <c r="G1364" s="710">
        <v>100</v>
      </c>
      <c r="H1364" s="682">
        <v>2211</v>
      </c>
      <c r="J1364" s="668" t="str">
        <f t="shared" si="226"/>
        <v>(d) Other Salaries</v>
      </c>
      <c r="L1364" s="668">
        <v>86</v>
      </c>
      <c r="M1364" s="669">
        <v>81</v>
      </c>
      <c r="N1364" s="668"/>
      <c r="O1364" s="668">
        <v>14</v>
      </c>
      <c r="P1364" s="668" t="str">
        <f>IFERROR(VLOOKUP(F1364, [2]MOE!B:C, 2, FALSE), "No")</f>
        <v>No</v>
      </c>
      <c r="Q1364" s="711" t="s">
        <v>1004</v>
      </c>
      <c r="S1364" s="670" t="s">
        <v>2217</v>
      </c>
      <c r="T1364" s="668" t="s">
        <v>1947</v>
      </c>
    </row>
    <row r="1365" spans="1:20">
      <c r="A1365" s="679">
        <v>1402211</v>
      </c>
      <c r="B1365" s="677"/>
      <c r="C1365" s="672"/>
      <c r="D1365" s="672"/>
      <c r="E1365" s="676" t="s">
        <v>2226</v>
      </c>
      <c r="F1365" s="680" t="s">
        <v>2227</v>
      </c>
      <c r="G1365" s="710">
        <v>140</v>
      </c>
      <c r="H1365" s="682">
        <v>2211</v>
      </c>
      <c r="J1365" s="668" t="str">
        <f t="shared" si="226"/>
        <v>(e) Sabbatical Leave</v>
      </c>
      <c r="L1365" s="668">
        <v>86</v>
      </c>
      <c r="M1365" s="669">
        <v>81</v>
      </c>
      <c r="N1365" s="668"/>
      <c r="O1365" s="668">
        <v>14</v>
      </c>
      <c r="P1365" s="668" t="str">
        <f>IFERROR(VLOOKUP(F1365, [2]MOE!B:C, 2, FALSE), "No")</f>
        <v>No</v>
      </c>
      <c r="Q1365" s="711" t="s">
        <v>1004</v>
      </c>
      <c r="S1365" s="670" t="s">
        <v>2217</v>
      </c>
      <c r="T1365" s="668" t="s">
        <v>1019</v>
      </c>
    </row>
    <row r="1366" spans="1:20">
      <c r="A1366" s="679">
        <v>3002211</v>
      </c>
      <c r="B1366" s="677"/>
      <c r="C1366" s="672"/>
      <c r="D1366" s="672"/>
      <c r="E1366" s="676" t="s">
        <v>2228</v>
      </c>
      <c r="F1366" s="680" t="s">
        <v>2229</v>
      </c>
      <c r="G1366" s="710">
        <v>300</v>
      </c>
      <c r="H1366" s="682">
        <v>2211</v>
      </c>
      <c r="J1366" s="668" t="str">
        <f t="shared" si="226"/>
        <v>(2) Purchased Professional and Tech. Svcs</v>
      </c>
      <c r="L1366" s="668">
        <v>101</v>
      </c>
      <c r="M1366" s="669">
        <v>96</v>
      </c>
      <c r="N1366" s="668"/>
      <c r="O1366" s="668">
        <v>14</v>
      </c>
      <c r="P1366" s="668" t="str">
        <f>IFERROR(VLOOKUP(F1366, [2]MOE!B:C, 2, FALSE), "No")</f>
        <v>No</v>
      </c>
      <c r="Q1366" s="711"/>
      <c r="S1366" s="670" t="s">
        <v>2217</v>
      </c>
      <c r="T1366" s="668" t="s">
        <v>2230</v>
      </c>
    </row>
    <row r="1367" spans="1:20">
      <c r="A1367" s="671"/>
      <c r="B1367" s="677"/>
      <c r="C1367" s="672"/>
      <c r="D1367" s="672"/>
      <c r="E1367" s="676" t="s">
        <v>2231</v>
      </c>
      <c r="F1367" s="675"/>
      <c r="G1367" s="672"/>
      <c r="H1367" s="676"/>
      <c r="Q1367" s="711"/>
      <c r="S1367" s="670"/>
    </row>
    <row r="1368" spans="1:20">
      <c r="A1368" s="679">
        <v>4302211</v>
      </c>
      <c r="B1368" s="677"/>
      <c r="C1368" s="672"/>
      <c r="D1368" s="672"/>
      <c r="E1368" s="676" t="s">
        <v>2232</v>
      </c>
      <c r="F1368" s="680" t="s">
        <v>2233</v>
      </c>
      <c r="G1368" s="710">
        <v>430</v>
      </c>
      <c r="H1368" s="682">
        <v>2211</v>
      </c>
      <c r="J1368" s="668" t="str">
        <f t="shared" ref="J1368:J1370" si="227">E1368</f>
        <v>(a) Repairs and Maintenance Services</v>
      </c>
      <c r="L1368" s="668">
        <v>107</v>
      </c>
      <c r="M1368" s="669">
        <v>102</v>
      </c>
      <c r="N1368" s="668"/>
      <c r="O1368" s="668">
        <v>14</v>
      </c>
      <c r="P1368" s="668" t="str">
        <f>IFERROR(VLOOKUP(F1368, [2]MOE!B:C, 2, FALSE), "No")</f>
        <v>No</v>
      </c>
      <c r="Q1368" s="711"/>
      <c r="S1368" s="670" t="s">
        <v>2217</v>
      </c>
      <c r="T1368" s="668" t="s">
        <v>1023</v>
      </c>
    </row>
    <row r="1369" spans="1:20">
      <c r="A1369" s="679">
        <v>4422211</v>
      </c>
      <c r="B1369" s="677"/>
      <c r="C1369" s="672"/>
      <c r="D1369" s="672"/>
      <c r="E1369" s="676" t="s">
        <v>2234</v>
      </c>
      <c r="F1369" s="680" t="s">
        <v>2235</v>
      </c>
      <c r="G1369" s="710">
        <v>442</v>
      </c>
      <c r="H1369" s="682">
        <v>2211</v>
      </c>
      <c r="J1369" s="668" t="str">
        <f t="shared" si="227"/>
        <v>(b) Rental of Equipment</v>
      </c>
      <c r="L1369" s="668">
        <v>106</v>
      </c>
      <c r="M1369" s="669">
        <v>101</v>
      </c>
      <c r="N1369" s="668"/>
      <c r="O1369" s="668">
        <v>14</v>
      </c>
      <c r="P1369" s="668" t="str">
        <f>IFERROR(VLOOKUP(F1369, [2]MOE!B:C, 2, FALSE), "No")</f>
        <v>No</v>
      </c>
      <c r="Q1369" s="711"/>
      <c r="S1369" s="670" t="s">
        <v>2217</v>
      </c>
      <c r="T1369" s="668" t="s">
        <v>1025</v>
      </c>
    </row>
    <row r="1370" spans="1:20">
      <c r="A1370" s="679">
        <v>4002211</v>
      </c>
      <c r="B1370" s="677"/>
      <c r="C1370" s="672"/>
      <c r="D1370" s="672"/>
      <c r="E1370" s="676" t="s">
        <v>2236</v>
      </c>
      <c r="F1370" s="680" t="s">
        <v>2237</v>
      </c>
      <c r="G1370" s="710">
        <v>400</v>
      </c>
      <c r="H1370" s="682">
        <v>2211</v>
      </c>
      <c r="J1370" s="668" t="str">
        <f t="shared" si="227"/>
        <v>(c) Other Purchased Property Svcs</v>
      </c>
      <c r="L1370" s="668">
        <v>108</v>
      </c>
      <c r="M1370" s="669">
        <v>103</v>
      </c>
      <c r="N1370" s="668"/>
      <c r="O1370" s="668">
        <v>14</v>
      </c>
      <c r="P1370" s="668" t="str">
        <f>IFERROR(VLOOKUP(F1370, [2]MOE!B:C, 2, FALSE), "No")</f>
        <v>No</v>
      </c>
      <c r="Q1370" s="711"/>
      <c r="S1370" s="670" t="s">
        <v>2217</v>
      </c>
      <c r="T1370" s="668" t="s">
        <v>2238</v>
      </c>
    </row>
    <row r="1371" spans="1:20">
      <c r="A1371" s="671"/>
      <c r="B1371" s="677"/>
      <c r="C1371" s="672"/>
      <c r="D1371" s="672"/>
      <c r="E1371" s="676" t="s">
        <v>1395</v>
      </c>
      <c r="F1371" s="675"/>
      <c r="G1371" s="672"/>
      <c r="H1371" s="676"/>
      <c r="Q1371" s="711"/>
      <c r="S1371" s="670"/>
    </row>
    <row r="1372" spans="1:20">
      <c r="A1372" s="679">
        <v>5822211</v>
      </c>
      <c r="B1372" s="677"/>
      <c r="C1372" s="672"/>
      <c r="D1372" s="672"/>
      <c r="E1372" s="676" t="s">
        <v>2239</v>
      </c>
      <c r="F1372" s="680" t="s">
        <v>2240</v>
      </c>
      <c r="G1372" s="710">
        <v>582</v>
      </c>
      <c r="H1372" s="682">
        <v>2211</v>
      </c>
      <c r="J1372" s="668" t="str">
        <f t="shared" ref="J1372:J1373" si="228">E1372</f>
        <v>(a) Travel Expense Reimbursement</v>
      </c>
      <c r="L1372" s="668">
        <v>118</v>
      </c>
      <c r="M1372" s="669">
        <v>109</v>
      </c>
      <c r="N1372" s="668"/>
      <c r="O1372" s="668">
        <v>14</v>
      </c>
      <c r="P1372" s="668" t="str">
        <f>IFERROR(VLOOKUP(F1372, [2]MOE!B:C, 2, FALSE), "No")</f>
        <v>No</v>
      </c>
      <c r="Q1372" s="711"/>
      <c r="S1372" s="670" t="s">
        <v>2217</v>
      </c>
      <c r="T1372" s="668" t="s">
        <v>1039</v>
      </c>
    </row>
    <row r="1373" spans="1:20">
      <c r="A1373" s="679">
        <v>5002211</v>
      </c>
      <c r="B1373" s="719"/>
      <c r="C1373" s="681"/>
      <c r="D1373" s="681"/>
      <c r="E1373" s="686" t="s">
        <v>2241</v>
      </c>
      <c r="F1373" s="680" t="s">
        <v>2242</v>
      </c>
      <c r="G1373" s="710">
        <v>500</v>
      </c>
      <c r="H1373" s="682">
        <v>2211</v>
      </c>
      <c r="J1373" s="668" t="str">
        <f t="shared" si="228"/>
        <v>(b) Other Purchased Services</v>
      </c>
      <c r="L1373" s="668">
        <v>119</v>
      </c>
      <c r="M1373" s="669">
        <v>110</v>
      </c>
      <c r="N1373" s="668"/>
      <c r="O1373" s="668">
        <v>14</v>
      </c>
      <c r="P1373" s="668" t="str">
        <f>IFERROR(VLOOKUP(F1373, [2]MOE!B:C, 2, FALSE), "No")</f>
        <v>No</v>
      </c>
      <c r="Q1373" s="711"/>
      <c r="S1373" s="670" t="s">
        <v>2217</v>
      </c>
      <c r="T1373" s="668" t="s">
        <v>252</v>
      </c>
    </row>
    <row r="1374" spans="1:20">
      <c r="A1374" s="671"/>
      <c r="B1374" s="677"/>
      <c r="C1374" s="672"/>
      <c r="D1374" s="672"/>
      <c r="E1374" s="676" t="s">
        <v>2243</v>
      </c>
      <c r="F1374" s="675"/>
      <c r="G1374" s="672"/>
      <c r="H1374" s="676"/>
      <c r="Q1374" s="711"/>
      <c r="S1374" s="670"/>
    </row>
    <row r="1375" spans="1:20">
      <c r="A1375" s="679">
        <v>6152211</v>
      </c>
      <c r="B1375" s="677"/>
      <c r="C1375" s="672"/>
      <c r="D1375" s="672"/>
      <c r="E1375" s="676" t="s">
        <v>2244</v>
      </c>
      <c r="F1375" s="680" t="s">
        <v>2245</v>
      </c>
      <c r="G1375" s="710">
        <v>615</v>
      </c>
      <c r="H1375" s="682">
        <v>2211</v>
      </c>
      <c r="J1375" s="668" t="str">
        <f t="shared" ref="J1375:J1377" si="229">E1375</f>
        <v>(a) Technology-Related Supplies</v>
      </c>
      <c r="L1375" s="668">
        <v>126</v>
      </c>
      <c r="M1375" s="669">
        <v>117</v>
      </c>
      <c r="N1375" s="668"/>
      <c r="O1375" s="668">
        <v>14</v>
      </c>
      <c r="P1375" s="668" t="str">
        <f>IFERROR(VLOOKUP(F1375, [2]MOE!B:C, 2, FALSE), "No")</f>
        <v>No</v>
      </c>
      <c r="Q1375" s="711" t="s">
        <v>1045</v>
      </c>
      <c r="S1375" s="670" t="s">
        <v>2217</v>
      </c>
      <c r="T1375" s="668" t="s">
        <v>1043</v>
      </c>
    </row>
    <row r="1376" spans="1:20">
      <c r="A1376" s="679">
        <v>6102211</v>
      </c>
      <c r="B1376" s="677"/>
      <c r="C1376" s="672"/>
      <c r="D1376" s="672"/>
      <c r="E1376" s="676" t="s">
        <v>2246</v>
      </c>
      <c r="F1376" s="680" t="s">
        <v>2247</v>
      </c>
      <c r="G1376" s="710">
        <v>610</v>
      </c>
      <c r="H1376" s="682">
        <v>2211</v>
      </c>
      <c r="J1376" s="668" t="str">
        <f t="shared" si="229"/>
        <v>(b) Materials and Supplies</v>
      </c>
      <c r="L1376" s="668">
        <v>122</v>
      </c>
      <c r="M1376" s="669">
        <v>113</v>
      </c>
      <c r="N1376" s="668"/>
      <c r="O1376" s="668">
        <v>14</v>
      </c>
      <c r="P1376" s="668" t="str">
        <f>IFERROR(VLOOKUP(F1376, [2]MOE!B:C, 2, FALSE), "No")</f>
        <v>No</v>
      </c>
      <c r="Q1376" s="711" t="s">
        <v>1045</v>
      </c>
      <c r="S1376" s="670" t="s">
        <v>2217</v>
      </c>
      <c r="T1376" s="668" t="s">
        <v>39</v>
      </c>
    </row>
    <row r="1377" spans="1:20">
      <c r="A1377" s="679">
        <v>6002211</v>
      </c>
      <c r="B1377" s="677"/>
      <c r="C1377" s="672"/>
      <c r="D1377" s="672"/>
      <c r="E1377" s="676" t="s">
        <v>2248</v>
      </c>
      <c r="F1377" s="680" t="s">
        <v>2249</v>
      </c>
      <c r="G1377" s="710">
        <v>600</v>
      </c>
      <c r="H1377" s="682">
        <v>2211</v>
      </c>
      <c r="J1377" s="668" t="str">
        <f t="shared" si="229"/>
        <v>(c) Other Supplies</v>
      </c>
      <c r="L1377" s="668">
        <v>126</v>
      </c>
      <c r="M1377" s="669">
        <v>117</v>
      </c>
      <c r="N1377" s="668"/>
      <c r="O1377" s="668">
        <v>14</v>
      </c>
      <c r="P1377" s="668" t="str">
        <f>IFERROR(VLOOKUP(F1377, [2]MOE!B:C, 2, FALSE), "No")</f>
        <v>No</v>
      </c>
      <c r="Q1377" s="711"/>
      <c r="S1377" s="670" t="s">
        <v>2217</v>
      </c>
      <c r="T1377" s="668" t="s">
        <v>1050</v>
      </c>
    </row>
    <row r="1378" spans="1:20">
      <c r="A1378" s="671"/>
      <c r="B1378" s="677"/>
      <c r="C1378" s="672"/>
      <c r="D1378" s="672"/>
      <c r="E1378" s="676" t="s">
        <v>2250</v>
      </c>
      <c r="F1378" s="675"/>
      <c r="G1378" s="672"/>
      <c r="H1378" s="676"/>
      <c r="Q1378" s="711"/>
      <c r="S1378" s="670"/>
    </row>
    <row r="1379" spans="1:20">
      <c r="A1379" s="679">
        <v>7342211</v>
      </c>
      <c r="B1379" s="677"/>
      <c r="C1379" s="672"/>
      <c r="D1379" s="672"/>
      <c r="E1379" s="676" t="s">
        <v>2251</v>
      </c>
      <c r="F1379" s="680" t="s">
        <v>2252</v>
      </c>
      <c r="G1379" s="710">
        <v>734</v>
      </c>
      <c r="H1379" s="682">
        <v>2211</v>
      </c>
      <c r="J1379" s="668" t="str">
        <f t="shared" ref="J1379:J1382" si="230">E1379</f>
        <v>(a) Technology-Related Hardware</v>
      </c>
      <c r="L1379" s="668">
        <v>131</v>
      </c>
      <c r="M1379" s="669">
        <v>122</v>
      </c>
      <c r="N1379" s="668"/>
      <c r="O1379" s="668">
        <v>14</v>
      </c>
      <c r="P1379" s="668" t="str">
        <f>IFERROR(VLOOKUP(F1379, [2]MOE!B:C, 2, FALSE), "No")</f>
        <v>No</v>
      </c>
      <c r="Q1379" s="711"/>
      <c r="S1379" s="670" t="s">
        <v>2217</v>
      </c>
      <c r="T1379" s="668" t="s">
        <v>1053</v>
      </c>
    </row>
    <row r="1380" spans="1:20">
      <c r="A1380" s="679">
        <v>7352211</v>
      </c>
      <c r="B1380" s="677"/>
      <c r="C1380" s="672"/>
      <c r="D1380" s="672"/>
      <c r="E1380" s="676" t="s">
        <v>2253</v>
      </c>
      <c r="F1380" s="680" t="s">
        <v>2254</v>
      </c>
      <c r="G1380" s="710">
        <v>735</v>
      </c>
      <c r="H1380" s="682">
        <v>2211</v>
      </c>
      <c r="J1380" s="668" t="str">
        <f t="shared" si="230"/>
        <v>(b) Technology Software</v>
      </c>
      <c r="L1380" s="668">
        <v>131</v>
      </c>
      <c r="M1380" s="669">
        <v>122</v>
      </c>
      <c r="N1380" s="668"/>
      <c r="O1380" s="668">
        <v>14</v>
      </c>
      <c r="P1380" s="668" t="str">
        <f>IFERROR(VLOOKUP(F1380, [2]MOE!B:C, 2, FALSE), "No")</f>
        <v>No</v>
      </c>
      <c r="Q1380" s="711"/>
      <c r="S1380" s="670" t="s">
        <v>2217</v>
      </c>
      <c r="T1380" s="668" t="s">
        <v>1055</v>
      </c>
    </row>
    <row r="1381" spans="1:20">
      <c r="A1381" s="679">
        <v>7302211</v>
      </c>
      <c r="B1381" s="677"/>
      <c r="C1381" s="672"/>
      <c r="D1381" s="672"/>
      <c r="E1381" s="676" t="s">
        <v>2255</v>
      </c>
      <c r="F1381" s="680" t="s">
        <v>2256</v>
      </c>
      <c r="G1381" s="710">
        <v>730</v>
      </c>
      <c r="H1381" s="682">
        <v>2211</v>
      </c>
      <c r="J1381" s="668" t="str">
        <f t="shared" si="230"/>
        <v>(c) All Other Equipment</v>
      </c>
      <c r="L1381" s="668">
        <v>131</v>
      </c>
      <c r="M1381" s="669">
        <v>122</v>
      </c>
      <c r="N1381" s="668"/>
      <c r="O1381" s="668">
        <v>14</v>
      </c>
      <c r="P1381" s="668" t="str">
        <f>IFERROR(VLOOKUP(F1381, [2]MOE!B:C, 2, FALSE), "No")</f>
        <v>No</v>
      </c>
      <c r="Q1381" s="711"/>
      <c r="S1381" s="670" t="s">
        <v>2217</v>
      </c>
      <c r="T1381" s="668" t="s">
        <v>1057</v>
      </c>
    </row>
    <row r="1382" spans="1:20">
      <c r="A1382" s="679">
        <v>7002211</v>
      </c>
      <c r="B1382" s="677"/>
      <c r="C1382" s="672"/>
      <c r="D1382" s="672"/>
      <c r="E1382" s="676" t="s">
        <v>2257</v>
      </c>
      <c r="F1382" s="680" t="s">
        <v>2258</v>
      </c>
      <c r="G1382" s="710">
        <v>700</v>
      </c>
      <c r="H1382" s="682">
        <v>2211</v>
      </c>
      <c r="J1382" s="668" t="str">
        <f t="shared" si="230"/>
        <v>(d) Other Property</v>
      </c>
      <c r="L1382" s="668">
        <v>132</v>
      </c>
      <c r="M1382" s="669">
        <v>123</v>
      </c>
      <c r="N1382" s="668"/>
      <c r="O1382" s="668">
        <v>14</v>
      </c>
      <c r="P1382" s="668" t="str">
        <f>IFERROR(VLOOKUP(F1382, [2]MOE!B:C, 2, FALSE), "No")</f>
        <v>No</v>
      </c>
      <c r="Q1382" s="711"/>
      <c r="S1382" s="670" t="s">
        <v>2217</v>
      </c>
      <c r="T1382" s="668" t="s">
        <v>1059</v>
      </c>
    </row>
    <row r="1383" spans="1:20">
      <c r="A1383" s="671"/>
      <c r="B1383" s="677"/>
      <c r="C1383" s="672"/>
      <c r="D1383" s="672"/>
      <c r="E1383" s="676" t="s">
        <v>2259</v>
      </c>
      <c r="F1383" s="675"/>
      <c r="G1383" s="672"/>
      <c r="H1383" s="676"/>
      <c r="Q1383" s="711"/>
      <c r="S1383" s="670"/>
    </row>
    <row r="1384" spans="1:20">
      <c r="A1384" s="679">
        <v>8952211</v>
      </c>
      <c r="B1384" s="677"/>
      <c r="C1384" s="672"/>
      <c r="D1384" s="672"/>
      <c r="E1384" s="676" t="s">
        <v>2260</v>
      </c>
      <c r="F1384" s="680" t="s">
        <v>2261</v>
      </c>
      <c r="G1384" s="710">
        <v>895</v>
      </c>
      <c r="H1384" s="682">
        <v>2211</v>
      </c>
      <c r="J1384" s="668" t="str">
        <f t="shared" ref="J1384:J1385" si="231">E1384</f>
        <v>(a) Misc. Non-Public Expenditures</v>
      </c>
      <c r="L1384" s="668">
        <v>139</v>
      </c>
      <c r="M1384" s="669">
        <v>129</v>
      </c>
      <c r="N1384" s="668"/>
      <c r="O1384" s="668">
        <v>14</v>
      </c>
      <c r="P1384" s="668" t="str">
        <f>IFERROR(VLOOKUP(F1384, [2]MOE!B:C, 2, FALSE), "No")</f>
        <v>No</v>
      </c>
      <c r="Q1384" s="711"/>
      <c r="S1384" s="670" t="s">
        <v>2217</v>
      </c>
      <c r="T1384" s="668" t="s">
        <v>2262</v>
      </c>
    </row>
    <row r="1385" spans="1:20">
      <c r="A1385" s="679">
        <v>8002211</v>
      </c>
      <c r="B1385" s="677"/>
      <c r="C1385" s="672"/>
      <c r="D1385" s="672"/>
      <c r="E1385" s="676" t="s">
        <v>2263</v>
      </c>
      <c r="F1385" s="680" t="s">
        <v>2264</v>
      </c>
      <c r="G1385" s="710">
        <v>800</v>
      </c>
      <c r="H1385" s="682">
        <v>2211</v>
      </c>
      <c r="J1385" s="668" t="str">
        <f t="shared" si="231"/>
        <v>(b) Other Miscellaneous Expenditures</v>
      </c>
      <c r="L1385" s="668">
        <v>139</v>
      </c>
      <c r="M1385" s="669">
        <v>129</v>
      </c>
      <c r="N1385" s="668"/>
      <c r="O1385" s="668">
        <v>14</v>
      </c>
      <c r="P1385" s="668" t="str">
        <f>IFERROR(VLOOKUP(F1385, [2]MOE!B:C, 2, FALSE), "No")</f>
        <v>No</v>
      </c>
      <c r="Q1385" s="711"/>
      <c r="S1385" s="670" t="s">
        <v>2217</v>
      </c>
      <c r="T1385" s="668" t="s">
        <v>1063</v>
      </c>
    </row>
    <row r="1386" spans="1:20">
      <c r="A1386" s="671"/>
      <c r="B1386" s="677"/>
      <c r="C1386" s="672"/>
      <c r="D1386" s="672"/>
      <c r="E1386" s="676" t="s">
        <v>2265</v>
      </c>
      <c r="F1386" s="675"/>
      <c r="G1386" s="672"/>
      <c r="H1386" s="676"/>
      <c r="Q1386" s="711"/>
      <c r="S1386" s="670"/>
    </row>
    <row r="1387" spans="1:20">
      <c r="A1387" s="679">
        <v>2102211</v>
      </c>
      <c r="B1387" s="677"/>
      <c r="C1387" s="672"/>
      <c r="D1387" s="672"/>
      <c r="E1387" s="676" t="s">
        <v>2266</v>
      </c>
      <c r="F1387" s="680" t="s">
        <v>2267</v>
      </c>
      <c r="G1387" s="710">
        <v>210</v>
      </c>
      <c r="H1387" s="682">
        <v>2211</v>
      </c>
      <c r="J1387" s="668" t="str">
        <f t="shared" ref="J1387:J1389" si="232">E1387</f>
        <v>(a) Group Insurance</v>
      </c>
      <c r="L1387" s="668">
        <v>89</v>
      </c>
      <c r="M1387" s="669">
        <v>84</v>
      </c>
      <c r="N1387" s="668"/>
      <c r="O1387" s="668">
        <v>14</v>
      </c>
      <c r="P1387" s="668" t="str">
        <f>IFERROR(VLOOKUP(F1387, [2]MOE!B:C, 2, FALSE), "No")</f>
        <v>No</v>
      </c>
      <c r="Q1387" s="711" t="s">
        <v>1004</v>
      </c>
      <c r="S1387" s="670" t="s">
        <v>2217</v>
      </c>
      <c r="T1387" s="668" t="s">
        <v>1066</v>
      </c>
    </row>
    <row r="1388" spans="1:20">
      <c r="A1388" s="679">
        <v>2202211</v>
      </c>
      <c r="B1388" s="677"/>
      <c r="C1388" s="672"/>
      <c r="D1388" s="672"/>
      <c r="E1388" s="676" t="s">
        <v>2268</v>
      </c>
      <c r="F1388" s="680" t="s">
        <v>2269</v>
      </c>
      <c r="G1388" s="710">
        <v>220</v>
      </c>
      <c r="H1388" s="682">
        <v>2211</v>
      </c>
      <c r="J1388" s="668" t="str">
        <f t="shared" si="232"/>
        <v>(b) FICA</v>
      </c>
      <c r="L1388" s="668">
        <v>90</v>
      </c>
      <c r="M1388" s="669">
        <v>85</v>
      </c>
      <c r="N1388" s="668"/>
      <c r="O1388" s="668">
        <v>14</v>
      </c>
      <c r="P1388" s="668" t="str">
        <f>IFERROR(VLOOKUP(F1388, [2]MOE!B:C, 2, FALSE), "No")</f>
        <v>No</v>
      </c>
      <c r="Q1388" s="711" t="s">
        <v>1004</v>
      </c>
      <c r="S1388" s="670" t="s">
        <v>2217</v>
      </c>
      <c r="T1388" s="668" t="s">
        <v>1068</v>
      </c>
    </row>
    <row r="1389" spans="1:20">
      <c r="A1389" s="679">
        <v>2252211</v>
      </c>
      <c r="B1389" s="677"/>
      <c r="C1389" s="672"/>
      <c r="D1389" s="672"/>
      <c r="E1389" s="676" t="s">
        <v>2270</v>
      </c>
      <c r="F1389" s="680" t="s">
        <v>2271</v>
      </c>
      <c r="G1389" s="710">
        <v>225</v>
      </c>
      <c r="H1389" s="682">
        <v>2211</v>
      </c>
      <c r="J1389" s="668" t="str">
        <f t="shared" si="232"/>
        <v>(c) Medicare</v>
      </c>
      <c r="L1389" s="668">
        <v>91</v>
      </c>
      <c r="M1389" s="669">
        <v>86</v>
      </c>
      <c r="N1389" s="668"/>
      <c r="O1389" s="668">
        <v>14</v>
      </c>
      <c r="P1389" s="668" t="str">
        <f>IFERROR(VLOOKUP(F1389, [2]MOE!B:C, 2, FALSE), "No")</f>
        <v>No</v>
      </c>
      <c r="Q1389" s="711" t="s">
        <v>1004</v>
      </c>
      <c r="S1389" s="670" t="s">
        <v>2217</v>
      </c>
      <c r="T1389" s="668" t="s">
        <v>23</v>
      </c>
    </row>
    <row r="1390" spans="1:20">
      <c r="A1390" s="671"/>
      <c r="B1390" s="677"/>
      <c r="C1390" s="672"/>
      <c r="D1390" s="672"/>
      <c r="E1390" s="676" t="s">
        <v>2272</v>
      </c>
      <c r="F1390" s="675"/>
      <c r="G1390" s="672"/>
      <c r="H1390" s="676"/>
      <c r="Q1390" s="711"/>
      <c r="S1390" s="670"/>
    </row>
    <row r="1391" spans="1:20">
      <c r="A1391" s="679">
        <v>2312211</v>
      </c>
      <c r="B1391" s="677"/>
      <c r="C1391" s="672"/>
      <c r="D1391" s="672"/>
      <c r="E1391" s="676" t="s">
        <v>2273</v>
      </c>
      <c r="F1391" s="680" t="s">
        <v>2274</v>
      </c>
      <c r="G1391" s="710">
        <v>231</v>
      </c>
      <c r="H1391" s="682">
        <v>2211</v>
      </c>
      <c r="J1391" s="668" t="str">
        <f t="shared" ref="J1391:J1399" si="233">E1391</f>
        <v>1) Louisiana Teachers Retirement</v>
      </c>
      <c r="L1391" s="668">
        <v>92</v>
      </c>
      <c r="M1391" s="669">
        <v>87</v>
      </c>
      <c r="N1391" s="668"/>
      <c r="O1391" s="668">
        <v>14</v>
      </c>
      <c r="P1391" s="668" t="str">
        <f>IFERROR(VLOOKUP(F1391, [2]MOE!B:C, 2, FALSE), "No")</f>
        <v>No</v>
      </c>
      <c r="Q1391" s="711" t="s">
        <v>1004</v>
      </c>
      <c r="S1391" s="670" t="s">
        <v>2217</v>
      </c>
      <c r="T1391" s="668" t="s">
        <v>1074</v>
      </c>
    </row>
    <row r="1392" spans="1:20">
      <c r="A1392" s="679">
        <v>2332211</v>
      </c>
      <c r="B1392" s="677"/>
      <c r="C1392" s="672"/>
      <c r="D1392" s="672"/>
      <c r="E1392" s="676" t="s">
        <v>2275</v>
      </c>
      <c r="F1392" s="680" t="s">
        <v>2276</v>
      </c>
      <c r="G1392" s="710">
        <v>233</v>
      </c>
      <c r="H1392" s="682">
        <v>2211</v>
      </c>
      <c r="J1392" s="668" t="str">
        <f t="shared" si="233"/>
        <v>2) Louisiana School Emp. Retire.</v>
      </c>
      <c r="L1392" s="668">
        <v>92</v>
      </c>
      <c r="M1392" s="669">
        <v>87</v>
      </c>
      <c r="N1392" s="668"/>
      <c r="O1392" s="668">
        <v>14</v>
      </c>
      <c r="P1392" s="668" t="str">
        <f>IFERROR(VLOOKUP(F1392, [2]MOE!B:C, 2, FALSE), "No")</f>
        <v>No</v>
      </c>
      <c r="Q1392" s="711" t="s">
        <v>1004</v>
      </c>
      <c r="S1392" s="670" t="s">
        <v>2217</v>
      </c>
      <c r="T1392" s="668" t="s">
        <v>2277</v>
      </c>
    </row>
    <row r="1393" spans="1:20">
      <c r="A1393" s="679">
        <v>2392211</v>
      </c>
      <c r="B1393" s="677"/>
      <c r="C1393" s="672"/>
      <c r="D1393" s="672"/>
      <c r="E1393" s="676" t="s">
        <v>2278</v>
      </c>
      <c r="F1393" s="680" t="s">
        <v>2279</v>
      </c>
      <c r="G1393" s="710">
        <v>239</v>
      </c>
      <c r="H1393" s="682">
        <v>2211</v>
      </c>
      <c r="J1393" s="668" t="str">
        <f t="shared" si="233"/>
        <v>3) Other Retirement</v>
      </c>
      <c r="L1393" s="668">
        <v>92</v>
      </c>
      <c r="M1393" s="669">
        <v>87</v>
      </c>
      <c r="N1393" s="668"/>
      <c r="O1393" s="668">
        <v>14</v>
      </c>
      <c r="P1393" s="668" t="str">
        <f>IFERROR(VLOOKUP(F1393, [2]MOE!B:C, 2, FALSE), "No")</f>
        <v>No</v>
      </c>
      <c r="Q1393" s="711" t="s">
        <v>1004</v>
      </c>
      <c r="S1393" s="670" t="s">
        <v>2217</v>
      </c>
      <c r="T1393" s="668" t="s">
        <v>1080</v>
      </c>
    </row>
    <row r="1394" spans="1:20">
      <c r="A1394" s="679">
        <v>2502211</v>
      </c>
      <c r="B1394" s="677"/>
      <c r="C1394" s="672"/>
      <c r="D1394" s="672"/>
      <c r="E1394" s="676" t="s">
        <v>2280</v>
      </c>
      <c r="F1394" s="680" t="s">
        <v>2281</v>
      </c>
      <c r="G1394" s="710">
        <v>250</v>
      </c>
      <c r="H1394" s="682">
        <v>2211</v>
      </c>
      <c r="J1394" s="668" t="str">
        <f t="shared" si="233"/>
        <v>(e) Unemployment Compensation</v>
      </c>
      <c r="L1394" s="668">
        <v>93</v>
      </c>
      <c r="M1394" s="669">
        <v>88</v>
      </c>
      <c r="N1394" s="668"/>
      <c r="O1394" s="668">
        <v>14</v>
      </c>
      <c r="P1394" s="668" t="str">
        <f>IFERROR(VLOOKUP(F1394, [2]MOE!B:C, 2, FALSE), "No")</f>
        <v>No</v>
      </c>
      <c r="Q1394" s="711" t="s">
        <v>1004</v>
      </c>
      <c r="S1394" s="670" t="s">
        <v>2217</v>
      </c>
      <c r="T1394" s="668" t="s">
        <v>1081</v>
      </c>
    </row>
    <row r="1395" spans="1:20">
      <c r="A1395" s="679">
        <v>2602211</v>
      </c>
      <c r="B1395" s="677"/>
      <c r="C1395" s="672"/>
      <c r="D1395" s="672"/>
      <c r="E1395" s="676" t="s">
        <v>2282</v>
      </c>
      <c r="F1395" s="680" t="s">
        <v>2283</v>
      </c>
      <c r="G1395" s="710">
        <v>260</v>
      </c>
      <c r="H1395" s="682">
        <v>2211</v>
      </c>
      <c r="J1395" s="668" t="str">
        <f t="shared" si="233"/>
        <v>(f) Workmen's Compensation</v>
      </c>
      <c r="L1395" s="668">
        <v>95</v>
      </c>
      <c r="M1395" s="669">
        <v>90</v>
      </c>
      <c r="N1395" s="668"/>
      <c r="O1395" s="668">
        <v>14</v>
      </c>
      <c r="P1395" s="668" t="str">
        <f>IFERROR(VLOOKUP(F1395, [2]MOE!B:C, 2, FALSE), "No")</f>
        <v>No</v>
      </c>
      <c r="Q1395" s="711" t="s">
        <v>1004</v>
      </c>
      <c r="S1395" s="670" t="s">
        <v>2217</v>
      </c>
      <c r="T1395" s="668" t="s">
        <v>1083</v>
      </c>
    </row>
    <row r="1396" spans="1:20">
      <c r="A1396" s="679">
        <v>2702211</v>
      </c>
      <c r="B1396" s="677"/>
      <c r="C1396" s="672"/>
      <c r="D1396" s="672"/>
      <c r="E1396" s="676" t="s">
        <v>2284</v>
      </c>
      <c r="F1396" s="680" t="s">
        <v>2285</v>
      </c>
      <c r="G1396" s="710">
        <v>270</v>
      </c>
      <c r="H1396" s="682">
        <v>2211</v>
      </c>
      <c r="J1396" s="668" t="str">
        <f t="shared" si="233"/>
        <v>(g) Health Benefits (retirees)</v>
      </c>
      <c r="L1396" s="668">
        <v>94</v>
      </c>
      <c r="M1396" s="669">
        <v>89</v>
      </c>
      <c r="N1396" s="668"/>
      <c r="O1396" s="668">
        <v>14</v>
      </c>
      <c r="P1396" s="668" t="str">
        <f>IFERROR(VLOOKUP(F1396, [2]MOE!B:C, 2, FALSE), "No")</f>
        <v>No</v>
      </c>
      <c r="Q1396" s="711" t="s">
        <v>1004</v>
      </c>
      <c r="S1396" s="670" t="s">
        <v>2217</v>
      </c>
      <c r="T1396" s="668" t="s">
        <v>1085</v>
      </c>
    </row>
    <row r="1397" spans="1:20">
      <c r="A1397" s="679">
        <v>2812211</v>
      </c>
      <c r="B1397" s="677"/>
      <c r="C1397" s="672"/>
      <c r="D1397" s="672"/>
      <c r="E1397" s="676" t="s">
        <v>2286</v>
      </c>
      <c r="F1397" s="680" t="s">
        <v>2287</v>
      </c>
      <c r="G1397" s="710">
        <v>281</v>
      </c>
      <c r="H1397" s="682">
        <v>2211</v>
      </c>
      <c r="J1397" s="668" t="str">
        <f t="shared" si="233"/>
        <v>(h) Sick Leave Severance Pay</v>
      </c>
      <c r="L1397" s="668">
        <v>95</v>
      </c>
      <c r="M1397" s="669">
        <v>90</v>
      </c>
      <c r="N1397" s="668"/>
      <c r="O1397" s="668">
        <v>14</v>
      </c>
      <c r="P1397" s="668" t="str">
        <f>IFERROR(VLOOKUP(F1397, [2]MOE!B:C, 2, FALSE), "No")</f>
        <v>No</v>
      </c>
      <c r="Q1397" s="711" t="s">
        <v>1004</v>
      </c>
      <c r="S1397" s="670" t="s">
        <v>2217</v>
      </c>
      <c r="T1397" s="668" t="s">
        <v>1087</v>
      </c>
    </row>
    <row r="1398" spans="1:20">
      <c r="A1398" s="679">
        <v>2822211</v>
      </c>
      <c r="B1398" s="677"/>
      <c r="C1398" s="672"/>
      <c r="D1398" s="672"/>
      <c r="E1398" s="676" t="s">
        <v>2288</v>
      </c>
      <c r="F1398" s="680" t="s">
        <v>2289</v>
      </c>
      <c r="G1398" s="710">
        <v>282</v>
      </c>
      <c r="H1398" s="682">
        <v>2211</v>
      </c>
      <c r="J1398" s="668" t="str">
        <f t="shared" si="233"/>
        <v>(i) Annual Leave Severance Pay</v>
      </c>
      <c r="L1398" s="668">
        <v>95</v>
      </c>
      <c r="M1398" s="669">
        <v>90</v>
      </c>
      <c r="N1398" s="668"/>
      <c r="O1398" s="668">
        <v>14</v>
      </c>
      <c r="P1398" s="668" t="str">
        <f>IFERROR(VLOOKUP(F1398, [2]MOE!B:C, 2, FALSE), "No")</f>
        <v>No</v>
      </c>
      <c r="Q1398" s="711" t="s">
        <v>1004</v>
      </c>
      <c r="S1398" s="670" t="s">
        <v>2217</v>
      </c>
      <c r="T1398" s="668" t="s">
        <v>1089</v>
      </c>
    </row>
    <row r="1399" spans="1:20">
      <c r="A1399" s="679">
        <v>2902211</v>
      </c>
      <c r="B1399" s="677"/>
      <c r="C1399" s="672"/>
      <c r="D1399" s="672"/>
      <c r="E1399" s="676" t="s">
        <v>2290</v>
      </c>
      <c r="F1399" s="680" t="s">
        <v>2291</v>
      </c>
      <c r="G1399" s="710">
        <v>290</v>
      </c>
      <c r="H1399" s="682">
        <v>2211</v>
      </c>
      <c r="J1399" s="668" t="str">
        <f t="shared" si="233"/>
        <v>(j) Other Employee Benefits</v>
      </c>
      <c r="L1399" s="668">
        <v>95</v>
      </c>
      <c r="M1399" s="669">
        <v>90</v>
      </c>
      <c r="N1399" s="668"/>
      <c r="O1399" s="668">
        <v>14</v>
      </c>
      <c r="P1399" s="668" t="str">
        <f>IFERROR(VLOOKUP(F1399, [2]MOE!B:C, 2, FALSE), "No")</f>
        <v>No</v>
      </c>
      <c r="Q1399" s="711" t="s">
        <v>1004</v>
      </c>
      <c r="S1399" s="670" t="s">
        <v>2217</v>
      </c>
      <c r="T1399" s="668" t="s">
        <v>1092</v>
      </c>
    </row>
    <row r="1400" spans="1:20">
      <c r="A1400" s="671"/>
      <c r="B1400" s="677"/>
      <c r="C1400" s="672"/>
      <c r="D1400" s="672" t="s">
        <v>777</v>
      </c>
      <c r="E1400" s="675" t="s">
        <v>2292</v>
      </c>
      <c r="F1400" s="675"/>
      <c r="G1400" s="672"/>
      <c r="H1400" s="676"/>
      <c r="Q1400" s="711"/>
      <c r="S1400" s="670"/>
    </row>
    <row r="1401" spans="1:20">
      <c r="A1401" s="671"/>
      <c r="B1401" s="677"/>
      <c r="C1401" s="672"/>
      <c r="D1401" s="672"/>
      <c r="E1401" s="676" t="s">
        <v>2293</v>
      </c>
      <c r="F1401" s="675"/>
      <c r="G1401" s="672"/>
      <c r="H1401" s="676"/>
      <c r="Q1401" s="711"/>
      <c r="S1401" s="670"/>
    </row>
    <row r="1402" spans="1:20">
      <c r="A1402" s="679">
        <v>1112212</v>
      </c>
      <c r="B1402" s="677"/>
      <c r="C1402" s="672"/>
      <c r="D1402" s="672"/>
      <c r="E1402" s="676" t="s">
        <v>2294</v>
      </c>
      <c r="F1402" s="680" t="s">
        <v>2295</v>
      </c>
      <c r="G1402" s="710">
        <v>111</v>
      </c>
      <c r="H1402" s="682">
        <v>2212</v>
      </c>
      <c r="J1402" s="668" t="str">
        <f t="shared" ref="J1402:J1407" si="234">E1402</f>
        <v>(a) District Sp. Ed Dir./Supervisors</v>
      </c>
      <c r="L1402" s="668">
        <v>81</v>
      </c>
      <c r="M1402" s="669">
        <v>76</v>
      </c>
      <c r="N1402" s="668"/>
      <c r="O1402" s="668">
        <v>14</v>
      </c>
      <c r="P1402" s="668" t="str">
        <f>IFERROR(VLOOKUP(F1402, [2]MOE!B:C, 2, FALSE), "No")</f>
        <v>YES</v>
      </c>
      <c r="Q1402" s="711" t="s">
        <v>1004</v>
      </c>
      <c r="S1402" s="670" t="s">
        <v>2296</v>
      </c>
      <c r="T1402" s="668" t="s">
        <v>2297</v>
      </c>
    </row>
    <row r="1403" spans="1:20">
      <c r="A1403" s="679">
        <v>1132212</v>
      </c>
      <c r="B1403" s="677"/>
      <c r="C1403" s="672"/>
      <c r="D1403" s="672"/>
      <c r="E1403" s="676" t="s">
        <v>2219</v>
      </c>
      <c r="F1403" s="680" t="s">
        <v>2298</v>
      </c>
      <c r="G1403" s="710">
        <v>113</v>
      </c>
      <c r="H1403" s="682">
        <v>2212</v>
      </c>
      <c r="J1403" s="668" t="str">
        <f t="shared" si="234"/>
        <v>(b) Specialists</v>
      </c>
      <c r="L1403" s="668">
        <v>83</v>
      </c>
      <c r="M1403" s="669">
        <v>78</v>
      </c>
      <c r="N1403" s="668"/>
      <c r="O1403" s="668">
        <v>14</v>
      </c>
      <c r="P1403" s="668" t="str">
        <f>IFERROR(VLOOKUP(F1403, [2]MOE!B:C, 2, FALSE), "No")</f>
        <v>YES</v>
      </c>
      <c r="Q1403" s="711" t="s">
        <v>1004</v>
      </c>
      <c r="S1403" s="670" t="s">
        <v>2296</v>
      </c>
      <c r="T1403" s="668" t="s">
        <v>2221</v>
      </c>
    </row>
    <row r="1404" spans="1:20">
      <c r="A1404" s="679">
        <v>1142212</v>
      </c>
      <c r="B1404" s="677"/>
      <c r="C1404" s="672"/>
      <c r="D1404" s="672"/>
      <c r="E1404" s="676" t="s">
        <v>2222</v>
      </c>
      <c r="F1404" s="680" t="s">
        <v>2299</v>
      </c>
      <c r="G1404" s="710">
        <v>114</v>
      </c>
      <c r="H1404" s="682">
        <v>2212</v>
      </c>
      <c r="J1404" s="668" t="str">
        <f t="shared" si="234"/>
        <v>(c) Clerical/Secretarial</v>
      </c>
      <c r="L1404" s="668">
        <v>84</v>
      </c>
      <c r="M1404" s="669">
        <v>79</v>
      </c>
      <c r="N1404" s="668"/>
      <c r="O1404" s="668">
        <v>14</v>
      </c>
      <c r="P1404" s="668" t="str">
        <f>IFERROR(VLOOKUP(F1404, [2]MOE!B:C, 2, FALSE), "No")</f>
        <v>YES</v>
      </c>
      <c r="Q1404" s="711" t="s">
        <v>1004</v>
      </c>
      <c r="S1404" s="670" t="s">
        <v>2296</v>
      </c>
      <c r="T1404" s="668" t="s">
        <v>1854</v>
      </c>
    </row>
    <row r="1405" spans="1:20">
      <c r="A1405" s="679">
        <v>1002212</v>
      </c>
      <c r="B1405" s="677"/>
      <c r="C1405" s="672"/>
      <c r="D1405" s="672"/>
      <c r="E1405" s="676" t="s">
        <v>2224</v>
      </c>
      <c r="F1405" s="680" t="s">
        <v>2300</v>
      </c>
      <c r="G1405" s="710">
        <v>100</v>
      </c>
      <c r="H1405" s="682">
        <v>2212</v>
      </c>
      <c r="J1405" s="668" t="str">
        <f t="shared" si="234"/>
        <v>(d) Other Salaries</v>
      </c>
      <c r="L1405" s="668">
        <v>86</v>
      </c>
      <c r="M1405" s="669">
        <v>81</v>
      </c>
      <c r="N1405" s="668"/>
      <c r="O1405" s="668">
        <v>14</v>
      </c>
      <c r="P1405" s="668" t="str">
        <f>IFERROR(VLOOKUP(F1405, [2]MOE!B:C, 2, FALSE), "No")</f>
        <v>YES</v>
      </c>
      <c r="Q1405" s="711" t="s">
        <v>1004</v>
      </c>
      <c r="S1405" s="670" t="s">
        <v>2296</v>
      </c>
      <c r="T1405" s="668" t="s">
        <v>1947</v>
      </c>
    </row>
    <row r="1406" spans="1:20">
      <c r="A1406" s="679">
        <v>1402212</v>
      </c>
      <c r="B1406" s="677"/>
      <c r="C1406" s="672"/>
      <c r="D1406" s="672"/>
      <c r="E1406" s="676" t="s">
        <v>2226</v>
      </c>
      <c r="F1406" s="680" t="s">
        <v>2301</v>
      </c>
      <c r="G1406" s="710">
        <v>140</v>
      </c>
      <c r="H1406" s="682">
        <v>2212</v>
      </c>
      <c r="J1406" s="668" t="str">
        <f t="shared" si="234"/>
        <v>(e) Sabbatical Leave</v>
      </c>
      <c r="L1406" s="668">
        <v>86</v>
      </c>
      <c r="M1406" s="669">
        <v>81</v>
      </c>
      <c r="N1406" s="668"/>
      <c r="O1406" s="668">
        <v>14</v>
      </c>
      <c r="P1406" s="668" t="str">
        <f>IFERROR(VLOOKUP(F1406, [2]MOE!B:C, 2, FALSE), "No")</f>
        <v>YES</v>
      </c>
      <c r="Q1406" s="711" t="s">
        <v>1004</v>
      </c>
      <c r="S1406" s="670" t="s">
        <v>2296</v>
      </c>
      <c r="T1406" s="668" t="s">
        <v>1019</v>
      </c>
    </row>
    <row r="1407" spans="1:20">
      <c r="A1407" s="679">
        <v>3002212</v>
      </c>
      <c r="B1407" s="677"/>
      <c r="C1407" s="672"/>
      <c r="D1407" s="672"/>
      <c r="E1407" s="676" t="s">
        <v>2228</v>
      </c>
      <c r="F1407" s="680" t="s">
        <v>2302</v>
      </c>
      <c r="G1407" s="710">
        <v>300</v>
      </c>
      <c r="H1407" s="682">
        <v>2212</v>
      </c>
      <c r="J1407" s="668" t="str">
        <f t="shared" si="234"/>
        <v>(2) Purchased Professional and Tech. Svcs</v>
      </c>
      <c r="L1407" s="668">
        <v>101</v>
      </c>
      <c r="M1407" s="669">
        <v>96</v>
      </c>
      <c r="N1407" s="668"/>
      <c r="O1407" s="668">
        <v>14</v>
      </c>
      <c r="P1407" s="668" t="str">
        <f>IFERROR(VLOOKUP(F1407, [2]MOE!B:C, 2, FALSE), "No")</f>
        <v>YES</v>
      </c>
      <c r="Q1407" s="711"/>
      <c r="S1407" s="670" t="s">
        <v>2296</v>
      </c>
      <c r="T1407" s="668" t="s">
        <v>2230</v>
      </c>
    </row>
    <row r="1408" spans="1:20">
      <c r="A1408" s="671"/>
      <c r="B1408" s="677"/>
      <c r="C1408" s="672"/>
      <c r="D1408" s="672"/>
      <c r="E1408" s="676" t="s">
        <v>2231</v>
      </c>
      <c r="F1408" s="675"/>
      <c r="G1408" s="672"/>
      <c r="H1408" s="676"/>
      <c r="Q1408" s="711"/>
      <c r="S1408" s="670"/>
    </row>
    <row r="1409" spans="1:20">
      <c r="A1409" s="679">
        <v>4302212</v>
      </c>
      <c r="B1409" s="677"/>
      <c r="C1409" s="672"/>
      <c r="D1409" s="672"/>
      <c r="E1409" s="676" t="s">
        <v>2232</v>
      </c>
      <c r="F1409" s="680" t="s">
        <v>2303</v>
      </c>
      <c r="G1409" s="710">
        <v>430</v>
      </c>
      <c r="H1409" s="682">
        <v>2212</v>
      </c>
      <c r="J1409" s="668" t="str">
        <f t="shared" ref="J1409:J1411" si="235">E1409</f>
        <v>(a) Repairs and Maintenance Services</v>
      </c>
      <c r="L1409" s="668">
        <v>107</v>
      </c>
      <c r="M1409" s="669">
        <v>102</v>
      </c>
      <c r="N1409" s="668"/>
      <c r="O1409" s="668">
        <v>14</v>
      </c>
      <c r="P1409" s="668" t="str">
        <f>IFERROR(VLOOKUP(F1409, [2]MOE!B:C, 2, FALSE), "No")</f>
        <v>YES</v>
      </c>
      <c r="Q1409" s="711"/>
      <c r="S1409" s="670" t="s">
        <v>2296</v>
      </c>
      <c r="T1409" s="668" t="s">
        <v>1023</v>
      </c>
    </row>
    <row r="1410" spans="1:20">
      <c r="A1410" s="679">
        <v>4422212</v>
      </c>
      <c r="B1410" s="677"/>
      <c r="C1410" s="672"/>
      <c r="D1410" s="672"/>
      <c r="E1410" s="676" t="s">
        <v>2234</v>
      </c>
      <c r="F1410" s="680" t="s">
        <v>2304</v>
      </c>
      <c r="G1410" s="710">
        <v>442</v>
      </c>
      <c r="H1410" s="682">
        <v>2212</v>
      </c>
      <c r="J1410" s="668" t="str">
        <f t="shared" si="235"/>
        <v>(b) Rental of Equipment</v>
      </c>
      <c r="L1410" s="668">
        <v>106</v>
      </c>
      <c r="M1410" s="669">
        <v>101</v>
      </c>
      <c r="N1410" s="668"/>
      <c r="O1410" s="668">
        <v>14</v>
      </c>
      <c r="P1410" s="668" t="str">
        <f>IFERROR(VLOOKUP(F1410, [2]MOE!B:C, 2, FALSE), "No")</f>
        <v>YES</v>
      </c>
      <c r="Q1410" s="711"/>
      <c r="S1410" s="670" t="s">
        <v>2296</v>
      </c>
      <c r="T1410" s="668" t="s">
        <v>1025</v>
      </c>
    </row>
    <row r="1411" spans="1:20">
      <c r="A1411" s="679">
        <v>4002212</v>
      </c>
      <c r="B1411" s="677"/>
      <c r="C1411" s="672"/>
      <c r="D1411" s="672"/>
      <c r="E1411" s="676" t="s">
        <v>2236</v>
      </c>
      <c r="F1411" s="680" t="s">
        <v>2305</v>
      </c>
      <c r="G1411" s="710">
        <v>400</v>
      </c>
      <c r="H1411" s="682">
        <v>2212</v>
      </c>
      <c r="J1411" s="668" t="str">
        <f t="shared" si="235"/>
        <v>(c) Other Purchased Property Svcs</v>
      </c>
      <c r="L1411" s="668">
        <v>108</v>
      </c>
      <c r="M1411" s="669">
        <v>103</v>
      </c>
      <c r="N1411" s="668"/>
      <c r="O1411" s="668">
        <v>14</v>
      </c>
      <c r="P1411" s="668" t="str">
        <f>IFERROR(VLOOKUP(F1411, [2]MOE!B:C, 2, FALSE), "No")</f>
        <v>YES</v>
      </c>
      <c r="Q1411" s="711"/>
      <c r="S1411" s="670" t="s">
        <v>2296</v>
      </c>
      <c r="T1411" s="668" t="s">
        <v>2238</v>
      </c>
    </row>
    <row r="1412" spans="1:20">
      <c r="A1412" s="671"/>
      <c r="B1412" s="677"/>
      <c r="C1412" s="672"/>
      <c r="D1412" s="672"/>
      <c r="E1412" s="676" t="s">
        <v>1395</v>
      </c>
      <c r="F1412" s="675"/>
      <c r="G1412" s="672"/>
      <c r="H1412" s="676"/>
      <c r="Q1412" s="711"/>
      <c r="S1412" s="670"/>
    </row>
    <row r="1413" spans="1:20">
      <c r="A1413" s="679">
        <v>5822212</v>
      </c>
      <c r="B1413" s="677"/>
      <c r="C1413" s="672"/>
      <c r="D1413" s="672"/>
      <c r="E1413" s="676" t="s">
        <v>2239</v>
      </c>
      <c r="F1413" s="680" t="s">
        <v>2306</v>
      </c>
      <c r="G1413" s="710">
        <v>582</v>
      </c>
      <c r="H1413" s="682">
        <v>2212</v>
      </c>
      <c r="J1413" s="668" t="str">
        <f t="shared" ref="J1413:J1414" si="236">E1413</f>
        <v>(a) Travel Expense Reimbursement</v>
      </c>
      <c r="L1413" s="668">
        <v>118</v>
      </c>
      <c r="M1413" s="669">
        <v>109</v>
      </c>
      <c r="N1413" s="668"/>
      <c r="O1413" s="668">
        <v>14</v>
      </c>
      <c r="P1413" s="668" t="str">
        <f>IFERROR(VLOOKUP(F1413, [2]MOE!B:C, 2, FALSE), "No")</f>
        <v>YES</v>
      </c>
      <c r="Q1413" s="711"/>
      <c r="S1413" s="670" t="s">
        <v>2296</v>
      </c>
      <c r="T1413" s="668" t="s">
        <v>1039</v>
      </c>
    </row>
    <row r="1414" spans="1:20">
      <c r="A1414" s="679">
        <v>5002212</v>
      </c>
      <c r="B1414" s="677"/>
      <c r="C1414" s="672"/>
      <c r="D1414" s="672"/>
      <c r="E1414" s="676" t="s">
        <v>2241</v>
      </c>
      <c r="F1414" s="680" t="s">
        <v>2307</v>
      </c>
      <c r="G1414" s="710">
        <v>500</v>
      </c>
      <c r="H1414" s="682">
        <v>2212</v>
      </c>
      <c r="J1414" s="668" t="str">
        <f t="shared" si="236"/>
        <v>(b) Other Purchased Services</v>
      </c>
      <c r="L1414" s="668">
        <v>119</v>
      </c>
      <c r="M1414" s="669">
        <v>110</v>
      </c>
      <c r="N1414" s="668"/>
      <c r="O1414" s="668">
        <v>14</v>
      </c>
      <c r="P1414" s="668" t="str">
        <f>IFERROR(VLOOKUP(F1414, [2]MOE!B:C, 2, FALSE), "No")</f>
        <v>YES</v>
      </c>
      <c r="Q1414" s="711"/>
      <c r="S1414" s="670" t="s">
        <v>2296</v>
      </c>
      <c r="T1414" s="668" t="s">
        <v>252</v>
      </c>
    </row>
    <row r="1415" spans="1:20">
      <c r="A1415" s="671"/>
      <c r="B1415" s="677"/>
      <c r="C1415" s="672"/>
      <c r="D1415" s="672"/>
      <c r="E1415" s="676" t="s">
        <v>2243</v>
      </c>
      <c r="F1415" s="675"/>
      <c r="G1415" s="672"/>
      <c r="H1415" s="676"/>
      <c r="Q1415" s="711"/>
      <c r="S1415" s="670"/>
    </row>
    <row r="1416" spans="1:20">
      <c r="A1416" s="679">
        <v>6152212</v>
      </c>
      <c r="B1416" s="677"/>
      <c r="C1416" s="672"/>
      <c r="D1416" s="672"/>
      <c r="E1416" s="676" t="s">
        <v>2244</v>
      </c>
      <c r="F1416" s="680" t="s">
        <v>2308</v>
      </c>
      <c r="G1416" s="710">
        <v>615</v>
      </c>
      <c r="H1416" s="682">
        <v>2212</v>
      </c>
      <c r="J1416" s="668" t="str">
        <f t="shared" ref="J1416:J1418" si="237">E1416</f>
        <v>(a) Technology-Related Supplies</v>
      </c>
      <c r="L1416" s="668">
        <v>126</v>
      </c>
      <c r="M1416" s="669">
        <v>117</v>
      </c>
      <c r="N1416" s="668"/>
      <c r="O1416" s="668">
        <v>14</v>
      </c>
      <c r="P1416" s="668" t="str">
        <f>IFERROR(VLOOKUP(F1416, [2]MOE!B:C, 2, FALSE), "No")</f>
        <v>YES</v>
      </c>
      <c r="Q1416" s="711" t="s">
        <v>1045</v>
      </c>
      <c r="S1416" s="670" t="s">
        <v>2296</v>
      </c>
      <c r="T1416" s="668" t="s">
        <v>1043</v>
      </c>
    </row>
    <row r="1417" spans="1:20">
      <c r="A1417" s="679">
        <v>6102212</v>
      </c>
      <c r="B1417" s="677"/>
      <c r="C1417" s="672"/>
      <c r="D1417" s="672"/>
      <c r="E1417" s="676" t="s">
        <v>2246</v>
      </c>
      <c r="F1417" s="680" t="s">
        <v>2309</v>
      </c>
      <c r="G1417" s="710">
        <v>610</v>
      </c>
      <c r="H1417" s="682">
        <v>2212</v>
      </c>
      <c r="J1417" s="668" t="str">
        <f t="shared" si="237"/>
        <v>(b) Materials and Supplies</v>
      </c>
      <c r="L1417" s="668">
        <v>122</v>
      </c>
      <c r="M1417" s="669">
        <v>113</v>
      </c>
      <c r="N1417" s="668"/>
      <c r="O1417" s="668">
        <v>14</v>
      </c>
      <c r="P1417" s="668" t="str">
        <f>IFERROR(VLOOKUP(F1417, [2]MOE!B:C, 2, FALSE), "No")</f>
        <v>YES</v>
      </c>
      <c r="Q1417" s="711" t="s">
        <v>1045</v>
      </c>
      <c r="S1417" s="670" t="s">
        <v>2296</v>
      </c>
      <c r="T1417" s="668" t="s">
        <v>39</v>
      </c>
    </row>
    <row r="1418" spans="1:20">
      <c r="A1418" s="679">
        <v>6002212</v>
      </c>
      <c r="B1418" s="677"/>
      <c r="C1418" s="672"/>
      <c r="D1418" s="672"/>
      <c r="E1418" s="676" t="s">
        <v>2248</v>
      </c>
      <c r="F1418" s="680" t="s">
        <v>2310</v>
      </c>
      <c r="G1418" s="710">
        <v>600</v>
      </c>
      <c r="H1418" s="682">
        <v>2212</v>
      </c>
      <c r="J1418" s="668" t="str">
        <f t="shared" si="237"/>
        <v>(c) Other Supplies</v>
      </c>
      <c r="L1418" s="668">
        <v>126</v>
      </c>
      <c r="M1418" s="669">
        <v>117</v>
      </c>
      <c r="N1418" s="668"/>
      <c r="O1418" s="668">
        <v>14</v>
      </c>
      <c r="P1418" s="668" t="str">
        <f>IFERROR(VLOOKUP(F1418, [2]MOE!B:C, 2, FALSE), "No")</f>
        <v>YES</v>
      </c>
      <c r="Q1418" s="711"/>
      <c r="S1418" s="670" t="s">
        <v>2296</v>
      </c>
      <c r="T1418" s="668" t="s">
        <v>1050</v>
      </c>
    </row>
    <row r="1419" spans="1:20">
      <c r="A1419" s="671"/>
      <c r="B1419" s="677"/>
      <c r="C1419" s="672"/>
      <c r="D1419" s="672"/>
      <c r="E1419" s="676" t="s">
        <v>2250</v>
      </c>
      <c r="F1419" s="675"/>
      <c r="G1419" s="672"/>
      <c r="H1419" s="676"/>
      <c r="Q1419" s="711"/>
      <c r="S1419" s="670"/>
    </row>
    <row r="1420" spans="1:20">
      <c r="A1420" s="679">
        <v>7342212</v>
      </c>
      <c r="B1420" s="677"/>
      <c r="C1420" s="672"/>
      <c r="D1420" s="672"/>
      <c r="E1420" s="676" t="s">
        <v>2251</v>
      </c>
      <c r="F1420" s="680" t="s">
        <v>2311</v>
      </c>
      <c r="G1420" s="710">
        <v>734</v>
      </c>
      <c r="H1420" s="682">
        <v>2212</v>
      </c>
      <c r="J1420" s="668" t="str">
        <f t="shared" ref="J1420:J1423" si="238">E1420</f>
        <v>(a) Technology-Related Hardware</v>
      </c>
      <c r="L1420" s="668">
        <v>131</v>
      </c>
      <c r="M1420" s="669">
        <v>122</v>
      </c>
      <c r="N1420" s="668"/>
      <c r="O1420" s="668">
        <v>14</v>
      </c>
      <c r="P1420" s="668" t="str">
        <f>IFERROR(VLOOKUP(F1420, [2]MOE!B:C, 2, FALSE), "No")</f>
        <v>No</v>
      </c>
      <c r="Q1420" s="711"/>
      <c r="S1420" s="670" t="s">
        <v>2296</v>
      </c>
      <c r="T1420" s="668" t="s">
        <v>1053</v>
      </c>
    </row>
    <row r="1421" spans="1:20">
      <c r="A1421" s="679">
        <v>7352212</v>
      </c>
      <c r="B1421" s="677"/>
      <c r="C1421" s="672"/>
      <c r="D1421" s="672"/>
      <c r="E1421" s="676" t="s">
        <v>2253</v>
      </c>
      <c r="F1421" s="680" t="s">
        <v>2312</v>
      </c>
      <c r="G1421" s="710">
        <v>735</v>
      </c>
      <c r="H1421" s="682">
        <v>2212</v>
      </c>
      <c r="J1421" s="668" t="str">
        <f t="shared" si="238"/>
        <v>(b) Technology Software</v>
      </c>
      <c r="L1421" s="668">
        <v>131</v>
      </c>
      <c r="M1421" s="669">
        <v>122</v>
      </c>
      <c r="N1421" s="668"/>
      <c r="O1421" s="668">
        <v>14</v>
      </c>
      <c r="P1421" s="668" t="str">
        <f>IFERROR(VLOOKUP(F1421, [2]MOE!B:C, 2, FALSE), "No")</f>
        <v>No</v>
      </c>
      <c r="Q1421" s="711"/>
      <c r="S1421" s="670" t="s">
        <v>2296</v>
      </c>
      <c r="T1421" s="668" t="s">
        <v>1055</v>
      </c>
    </row>
    <row r="1422" spans="1:20">
      <c r="A1422" s="679">
        <v>7302212</v>
      </c>
      <c r="B1422" s="677"/>
      <c r="C1422" s="672"/>
      <c r="D1422" s="672"/>
      <c r="E1422" s="676" t="s">
        <v>2255</v>
      </c>
      <c r="F1422" s="680" t="s">
        <v>2313</v>
      </c>
      <c r="G1422" s="710">
        <v>730</v>
      </c>
      <c r="H1422" s="682">
        <v>2212</v>
      </c>
      <c r="J1422" s="668" t="str">
        <f t="shared" si="238"/>
        <v>(c) All Other Equipment</v>
      </c>
      <c r="L1422" s="668">
        <v>131</v>
      </c>
      <c r="M1422" s="669">
        <v>122</v>
      </c>
      <c r="N1422" s="668"/>
      <c r="O1422" s="668">
        <v>14</v>
      </c>
      <c r="P1422" s="668" t="str">
        <f>IFERROR(VLOOKUP(F1422, [2]MOE!B:C, 2, FALSE), "No")</f>
        <v>No</v>
      </c>
      <c r="Q1422" s="711"/>
      <c r="S1422" s="670" t="s">
        <v>2296</v>
      </c>
      <c r="T1422" s="668" t="s">
        <v>1057</v>
      </c>
    </row>
    <row r="1423" spans="1:20">
      <c r="A1423" s="679">
        <v>7002212</v>
      </c>
      <c r="B1423" s="677"/>
      <c r="C1423" s="672"/>
      <c r="D1423" s="672"/>
      <c r="E1423" s="676" t="s">
        <v>2257</v>
      </c>
      <c r="F1423" s="680" t="s">
        <v>2314</v>
      </c>
      <c r="G1423" s="710">
        <v>700</v>
      </c>
      <c r="H1423" s="682">
        <v>2212</v>
      </c>
      <c r="J1423" s="668" t="str">
        <f t="shared" si="238"/>
        <v>(d) Other Property</v>
      </c>
      <c r="L1423" s="668">
        <v>132</v>
      </c>
      <c r="M1423" s="669">
        <v>123</v>
      </c>
      <c r="N1423" s="668"/>
      <c r="O1423" s="668">
        <v>14</v>
      </c>
      <c r="P1423" s="668" t="str">
        <f>IFERROR(VLOOKUP(F1423, [2]MOE!B:C, 2, FALSE), "No")</f>
        <v>No</v>
      </c>
      <c r="Q1423" s="711"/>
      <c r="S1423" s="670" t="s">
        <v>2296</v>
      </c>
      <c r="T1423" s="668" t="s">
        <v>1059</v>
      </c>
    </row>
    <row r="1424" spans="1:20">
      <c r="A1424" s="671"/>
      <c r="B1424" s="677"/>
      <c r="C1424" s="672"/>
      <c r="D1424" s="672"/>
      <c r="E1424" s="676" t="s">
        <v>2259</v>
      </c>
      <c r="F1424" s="675"/>
      <c r="G1424" s="672"/>
      <c r="H1424" s="676"/>
      <c r="Q1424" s="711"/>
      <c r="S1424" s="670"/>
    </row>
    <row r="1425" spans="1:20">
      <c r="A1425" s="679">
        <v>8952212</v>
      </c>
      <c r="B1425" s="677"/>
      <c r="C1425" s="672"/>
      <c r="D1425" s="672"/>
      <c r="E1425" s="676" t="s">
        <v>2260</v>
      </c>
      <c r="F1425" s="680" t="s">
        <v>2315</v>
      </c>
      <c r="G1425" s="710">
        <v>895</v>
      </c>
      <c r="H1425" s="682">
        <v>2212</v>
      </c>
      <c r="J1425" s="668" t="str">
        <f t="shared" ref="J1425:J1426" si="239">E1425</f>
        <v>(a) Misc. Non-Public Expenditures</v>
      </c>
      <c r="L1425" s="668">
        <v>139</v>
      </c>
      <c r="M1425" s="669">
        <v>129</v>
      </c>
      <c r="N1425" s="668"/>
      <c r="O1425" s="668">
        <v>14</v>
      </c>
      <c r="P1425" s="668" t="str">
        <f>IFERROR(VLOOKUP(F1425, [2]MOE!B:C, 2, FALSE), "No")</f>
        <v>YES</v>
      </c>
      <c r="Q1425" s="711"/>
      <c r="S1425" s="670" t="s">
        <v>2296</v>
      </c>
      <c r="T1425" s="668" t="s">
        <v>2262</v>
      </c>
    </row>
    <row r="1426" spans="1:20">
      <c r="A1426" s="679">
        <v>8002212</v>
      </c>
      <c r="B1426" s="719"/>
      <c r="C1426" s="681"/>
      <c r="D1426" s="681"/>
      <c r="E1426" s="686" t="s">
        <v>2263</v>
      </c>
      <c r="F1426" s="680" t="s">
        <v>2316</v>
      </c>
      <c r="G1426" s="710">
        <v>800</v>
      </c>
      <c r="H1426" s="682">
        <v>2212</v>
      </c>
      <c r="J1426" s="668" t="str">
        <f t="shared" si="239"/>
        <v>(b) Other Miscellaneous Expenditures</v>
      </c>
      <c r="L1426" s="668">
        <v>139</v>
      </c>
      <c r="M1426" s="669">
        <v>129</v>
      </c>
      <c r="N1426" s="668"/>
      <c r="O1426" s="668">
        <v>14</v>
      </c>
      <c r="P1426" s="668" t="str">
        <f>IFERROR(VLOOKUP(F1426, [2]MOE!B:C, 2, FALSE), "No")</f>
        <v>YES</v>
      </c>
      <c r="Q1426" s="711"/>
      <c r="S1426" s="670" t="s">
        <v>2296</v>
      </c>
      <c r="T1426" s="668" t="s">
        <v>1063</v>
      </c>
    </row>
    <row r="1427" spans="1:20">
      <c r="A1427" s="671"/>
      <c r="B1427" s="677"/>
      <c r="C1427" s="672"/>
      <c r="D1427" s="672"/>
      <c r="E1427" s="676" t="s">
        <v>2265</v>
      </c>
      <c r="F1427" s="675"/>
      <c r="G1427" s="672"/>
      <c r="H1427" s="676"/>
      <c r="Q1427" s="711"/>
      <c r="S1427" s="670"/>
    </row>
    <row r="1428" spans="1:20">
      <c r="A1428" s="679">
        <v>2102212</v>
      </c>
      <c r="B1428" s="677"/>
      <c r="C1428" s="672"/>
      <c r="D1428" s="672"/>
      <c r="E1428" s="676" t="s">
        <v>2266</v>
      </c>
      <c r="F1428" s="680" t="s">
        <v>2317</v>
      </c>
      <c r="G1428" s="710">
        <v>210</v>
      </c>
      <c r="H1428" s="682">
        <v>2212</v>
      </c>
      <c r="J1428" s="668" t="str">
        <f t="shared" ref="J1428:J1430" si="240">E1428</f>
        <v>(a) Group Insurance</v>
      </c>
      <c r="L1428" s="668">
        <v>89</v>
      </c>
      <c r="M1428" s="669">
        <v>84</v>
      </c>
      <c r="N1428" s="668"/>
      <c r="O1428" s="668">
        <v>14</v>
      </c>
      <c r="P1428" s="668" t="str">
        <f>IFERROR(VLOOKUP(F1428, [2]MOE!B:C, 2, FALSE), "No")</f>
        <v>YES</v>
      </c>
      <c r="Q1428" s="711" t="s">
        <v>1004</v>
      </c>
      <c r="S1428" s="670" t="s">
        <v>2296</v>
      </c>
      <c r="T1428" s="668" t="s">
        <v>1066</v>
      </c>
    </row>
    <row r="1429" spans="1:20">
      <c r="A1429" s="679">
        <v>2202212</v>
      </c>
      <c r="B1429" s="677"/>
      <c r="C1429" s="672"/>
      <c r="D1429" s="672"/>
      <c r="E1429" s="676" t="s">
        <v>2268</v>
      </c>
      <c r="F1429" s="680" t="s">
        <v>2318</v>
      </c>
      <c r="G1429" s="710">
        <v>220</v>
      </c>
      <c r="H1429" s="682">
        <v>2212</v>
      </c>
      <c r="J1429" s="668" t="str">
        <f t="shared" si="240"/>
        <v>(b) FICA</v>
      </c>
      <c r="L1429" s="668">
        <v>90</v>
      </c>
      <c r="M1429" s="669">
        <v>85</v>
      </c>
      <c r="N1429" s="668"/>
      <c r="O1429" s="668">
        <v>14</v>
      </c>
      <c r="P1429" s="668" t="str">
        <f>IFERROR(VLOOKUP(F1429, [2]MOE!B:C, 2, FALSE), "No")</f>
        <v>YES</v>
      </c>
      <c r="Q1429" s="711" t="s">
        <v>1004</v>
      </c>
      <c r="S1429" s="670" t="s">
        <v>2296</v>
      </c>
      <c r="T1429" s="668" t="s">
        <v>1068</v>
      </c>
    </row>
    <row r="1430" spans="1:20">
      <c r="A1430" s="679">
        <v>2252212</v>
      </c>
      <c r="B1430" s="677"/>
      <c r="C1430" s="672"/>
      <c r="D1430" s="672"/>
      <c r="E1430" s="676" t="s">
        <v>2270</v>
      </c>
      <c r="F1430" s="680" t="s">
        <v>2319</v>
      </c>
      <c r="G1430" s="710">
        <v>225</v>
      </c>
      <c r="H1430" s="682">
        <v>2212</v>
      </c>
      <c r="J1430" s="668" t="str">
        <f t="shared" si="240"/>
        <v>(c) Medicare</v>
      </c>
      <c r="L1430" s="668">
        <v>91</v>
      </c>
      <c r="M1430" s="669">
        <v>86</v>
      </c>
      <c r="N1430" s="668"/>
      <c r="O1430" s="668">
        <v>14</v>
      </c>
      <c r="P1430" s="668" t="str">
        <f>IFERROR(VLOOKUP(F1430, [2]MOE!B:C, 2, FALSE), "No")</f>
        <v>YES</v>
      </c>
      <c r="Q1430" s="711" t="s">
        <v>1004</v>
      </c>
      <c r="S1430" s="670" t="s">
        <v>2296</v>
      </c>
      <c r="T1430" s="668" t="s">
        <v>23</v>
      </c>
    </row>
    <row r="1431" spans="1:20">
      <c r="A1431" s="671"/>
      <c r="B1431" s="677"/>
      <c r="C1431" s="672"/>
      <c r="D1431" s="672"/>
      <c r="E1431" s="676" t="s">
        <v>2272</v>
      </c>
      <c r="F1431" s="675"/>
      <c r="G1431" s="672"/>
      <c r="H1431" s="676"/>
      <c r="Q1431" s="711"/>
      <c r="S1431" s="670"/>
    </row>
    <row r="1432" spans="1:20">
      <c r="A1432" s="679">
        <v>2312212</v>
      </c>
      <c r="B1432" s="677"/>
      <c r="C1432" s="672"/>
      <c r="D1432" s="672"/>
      <c r="E1432" s="676" t="s">
        <v>2273</v>
      </c>
      <c r="F1432" s="680" t="s">
        <v>2320</v>
      </c>
      <c r="G1432" s="710">
        <v>231</v>
      </c>
      <c r="H1432" s="682">
        <v>2212</v>
      </c>
      <c r="J1432" s="668" t="str">
        <f t="shared" ref="J1432:J1440" si="241">E1432</f>
        <v>1) Louisiana Teachers Retirement</v>
      </c>
      <c r="L1432" s="668">
        <v>92</v>
      </c>
      <c r="M1432" s="669">
        <v>87</v>
      </c>
      <c r="N1432" s="668"/>
      <c r="O1432" s="668">
        <v>14</v>
      </c>
      <c r="P1432" s="668" t="str">
        <f>IFERROR(VLOOKUP(F1432, [2]MOE!B:C, 2, FALSE), "No")</f>
        <v>YES</v>
      </c>
      <c r="Q1432" s="711" t="s">
        <v>1004</v>
      </c>
      <c r="S1432" s="670" t="s">
        <v>2296</v>
      </c>
      <c r="T1432" s="668" t="s">
        <v>1074</v>
      </c>
    </row>
    <row r="1433" spans="1:20">
      <c r="A1433" s="679">
        <v>2332212</v>
      </c>
      <c r="B1433" s="677"/>
      <c r="C1433" s="672"/>
      <c r="D1433" s="672"/>
      <c r="E1433" s="676" t="s">
        <v>2275</v>
      </c>
      <c r="F1433" s="680" t="s">
        <v>2321</v>
      </c>
      <c r="G1433" s="710">
        <v>233</v>
      </c>
      <c r="H1433" s="682">
        <v>2212</v>
      </c>
      <c r="J1433" s="668" t="str">
        <f t="shared" si="241"/>
        <v>2) Louisiana School Emp. Retire.</v>
      </c>
      <c r="L1433" s="668">
        <v>92</v>
      </c>
      <c r="M1433" s="669">
        <v>87</v>
      </c>
      <c r="N1433" s="668"/>
      <c r="O1433" s="668">
        <v>14</v>
      </c>
      <c r="P1433" s="668" t="str">
        <f>IFERROR(VLOOKUP(F1433, [2]MOE!B:C, 2, FALSE), "No")</f>
        <v>YES</v>
      </c>
      <c r="Q1433" s="711" t="s">
        <v>1004</v>
      </c>
      <c r="S1433" s="670" t="s">
        <v>2296</v>
      </c>
      <c r="T1433" s="668" t="s">
        <v>2277</v>
      </c>
    </row>
    <row r="1434" spans="1:20">
      <c r="A1434" s="679">
        <v>2392212</v>
      </c>
      <c r="B1434" s="677"/>
      <c r="C1434" s="672"/>
      <c r="D1434" s="672"/>
      <c r="E1434" s="676" t="s">
        <v>2278</v>
      </c>
      <c r="F1434" s="680" t="s">
        <v>2322</v>
      </c>
      <c r="G1434" s="710">
        <v>239</v>
      </c>
      <c r="H1434" s="682">
        <v>2212</v>
      </c>
      <c r="J1434" s="668" t="str">
        <f t="shared" si="241"/>
        <v>3) Other Retirement</v>
      </c>
      <c r="L1434" s="668">
        <v>92</v>
      </c>
      <c r="M1434" s="669">
        <v>87</v>
      </c>
      <c r="N1434" s="668"/>
      <c r="O1434" s="668">
        <v>14</v>
      </c>
      <c r="P1434" s="668" t="str">
        <f>IFERROR(VLOOKUP(F1434, [2]MOE!B:C, 2, FALSE), "No")</f>
        <v>YES</v>
      </c>
      <c r="Q1434" s="711" t="s">
        <v>1004</v>
      </c>
      <c r="S1434" s="670" t="s">
        <v>2296</v>
      </c>
      <c r="T1434" s="668" t="s">
        <v>1080</v>
      </c>
    </row>
    <row r="1435" spans="1:20">
      <c r="A1435" s="679">
        <v>2502212</v>
      </c>
      <c r="B1435" s="677"/>
      <c r="C1435" s="672"/>
      <c r="D1435" s="672"/>
      <c r="E1435" s="676" t="s">
        <v>2280</v>
      </c>
      <c r="F1435" s="680" t="s">
        <v>2323</v>
      </c>
      <c r="G1435" s="710">
        <v>250</v>
      </c>
      <c r="H1435" s="682">
        <v>2212</v>
      </c>
      <c r="J1435" s="668" t="str">
        <f t="shared" si="241"/>
        <v>(e) Unemployment Compensation</v>
      </c>
      <c r="L1435" s="668">
        <v>93</v>
      </c>
      <c r="M1435" s="669">
        <v>88</v>
      </c>
      <c r="N1435" s="668"/>
      <c r="O1435" s="668">
        <v>14</v>
      </c>
      <c r="P1435" s="668" t="str">
        <f>IFERROR(VLOOKUP(F1435, [2]MOE!B:C, 2, FALSE), "No")</f>
        <v>YES</v>
      </c>
      <c r="Q1435" s="711" t="s">
        <v>1004</v>
      </c>
      <c r="S1435" s="670" t="s">
        <v>2296</v>
      </c>
      <c r="T1435" s="668" t="s">
        <v>1081</v>
      </c>
    </row>
    <row r="1436" spans="1:20">
      <c r="A1436" s="679">
        <v>2602212</v>
      </c>
      <c r="B1436" s="677"/>
      <c r="C1436" s="672"/>
      <c r="D1436" s="672"/>
      <c r="E1436" s="676" t="s">
        <v>2282</v>
      </c>
      <c r="F1436" s="680" t="s">
        <v>2324</v>
      </c>
      <c r="G1436" s="710">
        <v>260</v>
      </c>
      <c r="H1436" s="682">
        <v>2212</v>
      </c>
      <c r="J1436" s="668" t="str">
        <f t="shared" si="241"/>
        <v>(f) Workmen's Compensation</v>
      </c>
      <c r="L1436" s="668">
        <v>95</v>
      </c>
      <c r="M1436" s="669">
        <v>90</v>
      </c>
      <c r="N1436" s="668"/>
      <c r="O1436" s="668">
        <v>14</v>
      </c>
      <c r="P1436" s="668" t="str">
        <f>IFERROR(VLOOKUP(F1436, [2]MOE!B:C, 2, FALSE), "No")</f>
        <v>YES</v>
      </c>
      <c r="Q1436" s="711" t="s">
        <v>1004</v>
      </c>
      <c r="S1436" s="670" t="s">
        <v>2296</v>
      </c>
      <c r="T1436" s="668" t="s">
        <v>1083</v>
      </c>
    </row>
    <row r="1437" spans="1:20">
      <c r="A1437" s="679">
        <v>2702212</v>
      </c>
      <c r="B1437" s="677"/>
      <c r="C1437" s="672"/>
      <c r="D1437" s="672"/>
      <c r="E1437" s="676" t="s">
        <v>2284</v>
      </c>
      <c r="F1437" s="680" t="s">
        <v>2325</v>
      </c>
      <c r="G1437" s="710">
        <v>270</v>
      </c>
      <c r="H1437" s="682">
        <v>2212</v>
      </c>
      <c r="J1437" s="668" t="str">
        <f t="shared" si="241"/>
        <v>(g) Health Benefits (retirees)</v>
      </c>
      <c r="L1437" s="668">
        <v>94</v>
      </c>
      <c r="M1437" s="669">
        <v>89</v>
      </c>
      <c r="N1437" s="668"/>
      <c r="O1437" s="668">
        <v>14</v>
      </c>
      <c r="P1437" s="668" t="str">
        <f>IFERROR(VLOOKUP(F1437, [2]MOE!B:C, 2, FALSE), "No")</f>
        <v>YES</v>
      </c>
      <c r="Q1437" s="711" t="s">
        <v>1004</v>
      </c>
      <c r="S1437" s="670" t="s">
        <v>2296</v>
      </c>
      <c r="T1437" s="668" t="s">
        <v>1085</v>
      </c>
    </row>
    <row r="1438" spans="1:20">
      <c r="A1438" s="679">
        <v>2812212</v>
      </c>
      <c r="B1438" s="677"/>
      <c r="C1438" s="672"/>
      <c r="D1438" s="672"/>
      <c r="E1438" s="676" t="s">
        <v>2286</v>
      </c>
      <c r="F1438" s="680" t="s">
        <v>2326</v>
      </c>
      <c r="G1438" s="710">
        <v>281</v>
      </c>
      <c r="H1438" s="682">
        <v>2212</v>
      </c>
      <c r="J1438" s="668" t="str">
        <f t="shared" si="241"/>
        <v>(h) Sick Leave Severance Pay</v>
      </c>
      <c r="L1438" s="668">
        <v>95</v>
      </c>
      <c r="M1438" s="669">
        <v>90</v>
      </c>
      <c r="N1438" s="668"/>
      <c r="O1438" s="668">
        <v>14</v>
      </c>
      <c r="P1438" s="668" t="str">
        <f>IFERROR(VLOOKUP(F1438, [2]MOE!B:C, 2, FALSE), "No")</f>
        <v>YES</v>
      </c>
      <c r="Q1438" s="711" t="s">
        <v>1004</v>
      </c>
      <c r="S1438" s="670" t="s">
        <v>2296</v>
      </c>
      <c r="T1438" s="668" t="s">
        <v>1087</v>
      </c>
    </row>
    <row r="1439" spans="1:20">
      <c r="A1439" s="679">
        <v>2822212</v>
      </c>
      <c r="B1439" s="677"/>
      <c r="C1439" s="672"/>
      <c r="D1439" s="672"/>
      <c r="E1439" s="676" t="s">
        <v>2288</v>
      </c>
      <c r="F1439" s="680" t="s">
        <v>2327</v>
      </c>
      <c r="G1439" s="710">
        <v>282</v>
      </c>
      <c r="H1439" s="682">
        <v>2212</v>
      </c>
      <c r="J1439" s="668" t="str">
        <f t="shared" si="241"/>
        <v>(i) Annual Leave Severance Pay</v>
      </c>
      <c r="L1439" s="668">
        <v>95</v>
      </c>
      <c r="M1439" s="669">
        <v>90</v>
      </c>
      <c r="N1439" s="668"/>
      <c r="O1439" s="668">
        <v>14</v>
      </c>
      <c r="P1439" s="668" t="str">
        <f>IFERROR(VLOOKUP(F1439, [2]MOE!B:C, 2, FALSE), "No")</f>
        <v>YES</v>
      </c>
      <c r="Q1439" s="711" t="s">
        <v>1004</v>
      </c>
      <c r="S1439" s="670" t="s">
        <v>2296</v>
      </c>
      <c r="T1439" s="668" t="s">
        <v>1089</v>
      </c>
    </row>
    <row r="1440" spans="1:20">
      <c r="A1440" s="679">
        <v>2902212</v>
      </c>
      <c r="B1440" s="677"/>
      <c r="C1440" s="672"/>
      <c r="D1440" s="672"/>
      <c r="E1440" s="676" t="s">
        <v>2290</v>
      </c>
      <c r="F1440" s="680" t="s">
        <v>2328</v>
      </c>
      <c r="G1440" s="710">
        <v>290</v>
      </c>
      <c r="H1440" s="682">
        <v>2212</v>
      </c>
      <c r="J1440" s="668" t="str">
        <f t="shared" si="241"/>
        <v>(j) Other Employee Benefits</v>
      </c>
      <c r="L1440" s="668">
        <v>95</v>
      </c>
      <c r="M1440" s="669">
        <v>90</v>
      </c>
      <c r="N1440" s="668"/>
      <c r="O1440" s="668">
        <v>14</v>
      </c>
      <c r="P1440" s="668" t="str">
        <f>IFERROR(VLOOKUP(F1440, [2]MOE!B:C, 2, FALSE), "No")</f>
        <v>YES</v>
      </c>
      <c r="Q1440" s="711" t="s">
        <v>1004</v>
      </c>
      <c r="S1440" s="670" t="s">
        <v>2296</v>
      </c>
      <c r="T1440" s="668" t="s">
        <v>1092</v>
      </c>
    </row>
    <row r="1441" spans="1:20">
      <c r="A1441" s="671"/>
      <c r="B1441" s="677"/>
      <c r="C1441" s="672"/>
      <c r="D1441" s="672" t="s">
        <v>801</v>
      </c>
      <c r="E1441" s="675" t="s">
        <v>2329</v>
      </c>
      <c r="F1441" s="675"/>
      <c r="G1441" s="672"/>
      <c r="H1441" s="676"/>
      <c r="Q1441" s="711"/>
      <c r="S1441" s="670"/>
    </row>
    <row r="1442" spans="1:20">
      <c r="A1442" s="671"/>
      <c r="B1442" s="677"/>
      <c r="C1442" s="672"/>
      <c r="D1442" s="672"/>
      <c r="E1442" s="676" t="s">
        <v>2330</v>
      </c>
      <c r="F1442" s="675"/>
      <c r="G1442" s="672"/>
      <c r="H1442" s="676"/>
      <c r="Q1442" s="711"/>
      <c r="S1442" s="670"/>
    </row>
    <row r="1443" spans="1:20">
      <c r="A1443" s="679">
        <v>1112213</v>
      </c>
      <c r="B1443" s="677"/>
      <c r="C1443" s="672"/>
      <c r="D1443" s="672"/>
      <c r="E1443" s="676" t="s">
        <v>2331</v>
      </c>
      <c r="F1443" s="680" t="s">
        <v>2332</v>
      </c>
      <c r="G1443" s="710">
        <v>111</v>
      </c>
      <c r="H1443" s="682">
        <v>2213</v>
      </c>
      <c r="J1443" s="668" t="str">
        <f t="shared" ref="J1443:J1448" si="242">E1443</f>
        <v>a) Director/Supervisors</v>
      </c>
      <c r="L1443" s="668">
        <v>81</v>
      </c>
      <c r="M1443" s="669">
        <v>76</v>
      </c>
      <c r="N1443" s="668"/>
      <c r="O1443" s="668">
        <v>14</v>
      </c>
      <c r="P1443" s="668" t="str">
        <f>IFERROR(VLOOKUP(F1443, [2]MOE!B:C, 2, FALSE), "No")</f>
        <v>No</v>
      </c>
      <c r="Q1443" s="711" t="s">
        <v>1004</v>
      </c>
      <c r="S1443" s="670" t="s">
        <v>2333</v>
      </c>
      <c r="T1443" s="668" t="s">
        <v>2218</v>
      </c>
    </row>
    <row r="1444" spans="1:20">
      <c r="A1444" s="679">
        <v>1132213</v>
      </c>
      <c r="B1444" s="677"/>
      <c r="C1444" s="672"/>
      <c r="D1444" s="672"/>
      <c r="E1444" s="676" t="s">
        <v>2219</v>
      </c>
      <c r="F1444" s="680" t="s">
        <v>2334</v>
      </c>
      <c r="G1444" s="710">
        <v>113</v>
      </c>
      <c r="H1444" s="682">
        <v>2213</v>
      </c>
      <c r="J1444" s="668" t="str">
        <f t="shared" si="242"/>
        <v>(b) Specialists</v>
      </c>
      <c r="L1444" s="668">
        <v>83</v>
      </c>
      <c r="M1444" s="669">
        <v>78</v>
      </c>
      <c r="N1444" s="668"/>
      <c r="O1444" s="668">
        <v>14</v>
      </c>
      <c r="P1444" s="668" t="str">
        <f>IFERROR(VLOOKUP(F1444, [2]MOE!B:C, 2, FALSE), "No")</f>
        <v>No</v>
      </c>
      <c r="Q1444" s="711" t="s">
        <v>1004</v>
      </c>
      <c r="S1444" s="670" t="s">
        <v>2333</v>
      </c>
      <c r="T1444" s="668" t="s">
        <v>2221</v>
      </c>
    </row>
    <row r="1445" spans="1:20">
      <c r="A1445" s="679">
        <v>1142213</v>
      </c>
      <c r="B1445" s="677"/>
      <c r="C1445" s="672"/>
      <c r="D1445" s="672"/>
      <c r="E1445" s="676" t="s">
        <v>2222</v>
      </c>
      <c r="F1445" s="680" t="s">
        <v>2335</v>
      </c>
      <c r="G1445" s="710">
        <v>114</v>
      </c>
      <c r="H1445" s="682">
        <v>2213</v>
      </c>
      <c r="J1445" s="668" t="str">
        <f t="shared" si="242"/>
        <v>(c) Clerical/Secretarial</v>
      </c>
      <c r="L1445" s="668">
        <v>84</v>
      </c>
      <c r="M1445" s="669">
        <v>79</v>
      </c>
      <c r="N1445" s="668"/>
      <c r="O1445" s="668">
        <v>14</v>
      </c>
      <c r="P1445" s="668" t="str">
        <f>IFERROR(VLOOKUP(F1445, [2]MOE!B:C, 2, FALSE), "No")</f>
        <v>No</v>
      </c>
      <c r="Q1445" s="711" t="s">
        <v>1004</v>
      </c>
      <c r="S1445" s="670" t="s">
        <v>2333</v>
      </c>
      <c r="T1445" s="668" t="s">
        <v>1854</v>
      </c>
    </row>
    <row r="1446" spans="1:20">
      <c r="A1446" s="679">
        <v>1002213</v>
      </c>
      <c r="B1446" s="677"/>
      <c r="C1446" s="672"/>
      <c r="D1446" s="672"/>
      <c r="E1446" s="676" t="s">
        <v>2224</v>
      </c>
      <c r="F1446" s="680" t="s">
        <v>2336</v>
      </c>
      <c r="G1446" s="710">
        <v>100</v>
      </c>
      <c r="H1446" s="682">
        <v>2213</v>
      </c>
      <c r="J1446" s="668" t="str">
        <f t="shared" si="242"/>
        <v>(d) Other Salaries</v>
      </c>
      <c r="L1446" s="668">
        <v>86</v>
      </c>
      <c r="M1446" s="669">
        <v>81</v>
      </c>
      <c r="N1446" s="668"/>
      <c r="O1446" s="668">
        <v>14</v>
      </c>
      <c r="P1446" s="668" t="str">
        <f>IFERROR(VLOOKUP(F1446, [2]MOE!B:C, 2, FALSE), "No")</f>
        <v>No</v>
      </c>
      <c r="Q1446" s="711" t="s">
        <v>1004</v>
      </c>
      <c r="S1446" s="670" t="s">
        <v>2333</v>
      </c>
      <c r="T1446" s="668" t="s">
        <v>1947</v>
      </c>
    </row>
    <row r="1447" spans="1:20">
      <c r="A1447" s="679">
        <v>1402213</v>
      </c>
      <c r="B1447" s="677"/>
      <c r="C1447" s="672"/>
      <c r="D1447" s="672"/>
      <c r="E1447" s="676" t="s">
        <v>2226</v>
      </c>
      <c r="F1447" s="680" t="s">
        <v>2337</v>
      </c>
      <c r="G1447" s="710">
        <v>140</v>
      </c>
      <c r="H1447" s="682">
        <v>2213</v>
      </c>
      <c r="J1447" s="668" t="str">
        <f t="shared" si="242"/>
        <v>(e) Sabbatical Leave</v>
      </c>
      <c r="L1447" s="668">
        <v>86</v>
      </c>
      <c r="M1447" s="669">
        <v>81</v>
      </c>
      <c r="N1447" s="668"/>
      <c r="O1447" s="668">
        <v>14</v>
      </c>
      <c r="P1447" s="668" t="str">
        <f>IFERROR(VLOOKUP(F1447, [2]MOE!B:C, 2, FALSE), "No")</f>
        <v>No</v>
      </c>
      <c r="Q1447" s="711" t="s">
        <v>1004</v>
      </c>
      <c r="S1447" s="670" t="s">
        <v>2333</v>
      </c>
      <c r="T1447" s="668" t="s">
        <v>1019</v>
      </c>
    </row>
    <row r="1448" spans="1:20">
      <c r="A1448" s="679">
        <v>3002213</v>
      </c>
      <c r="B1448" s="677"/>
      <c r="C1448" s="672"/>
      <c r="D1448" s="672"/>
      <c r="E1448" s="676" t="s">
        <v>2228</v>
      </c>
      <c r="F1448" s="680" t="s">
        <v>2338</v>
      </c>
      <c r="G1448" s="710">
        <v>300</v>
      </c>
      <c r="H1448" s="682">
        <v>2213</v>
      </c>
      <c r="J1448" s="668" t="str">
        <f t="shared" si="242"/>
        <v>(2) Purchased Professional and Tech. Svcs</v>
      </c>
      <c r="L1448" s="668">
        <v>101</v>
      </c>
      <c r="M1448" s="669">
        <v>96</v>
      </c>
      <c r="N1448" s="668"/>
      <c r="O1448" s="668">
        <v>14</v>
      </c>
      <c r="P1448" s="668" t="str">
        <f>IFERROR(VLOOKUP(F1448, [2]MOE!B:C, 2, FALSE), "No")</f>
        <v>No</v>
      </c>
      <c r="Q1448" s="711"/>
      <c r="S1448" s="670" t="s">
        <v>2333</v>
      </c>
      <c r="T1448" s="668" t="s">
        <v>2230</v>
      </c>
    </row>
    <row r="1449" spans="1:20">
      <c r="A1449" s="671"/>
      <c r="B1449" s="677"/>
      <c r="C1449" s="672"/>
      <c r="D1449" s="672"/>
      <c r="E1449" s="676" t="s">
        <v>2231</v>
      </c>
      <c r="F1449" s="675"/>
      <c r="G1449" s="672"/>
      <c r="H1449" s="676"/>
      <c r="Q1449" s="711"/>
      <c r="S1449" s="670"/>
    </row>
    <row r="1450" spans="1:20">
      <c r="A1450" s="679">
        <v>4302213</v>
      </c>
      <c r="B1450" s="677"/>
      <c r="C1450" s="672"/>
      <c r="D1450" s="672"/>
      <c r="E1450" s="676" t="s">
        <v>2232</v>
      </c>
      <c r="F1450" s="680" t="s">
        <v>2339</v>
      </c>
      <c r="G1450" s="710">
        <v>430</v>
      </c>
      <c r="H1450" s="682">
        <v>2213</v>
      </c>
      <c r="J1450" s="668" t="str">
        <f t="shared" ref="J1450:J1452" si="243">E1450</f>
        <v>(a) Repairs and Maintenance Services</v>
      </c>
      <c r="L1450" s="668">
        <v>107</v>
      </c>
      <c r="M1450" s="669">
        <v>102</v>
      </c>
      <c r="N1450" s="668"/>
      <c r="O1450" s="668">
        <v>14</v>
      </c>
      <c r="P1450" s="668" t="str">
        <f>IFERROR(VLOOKUP(F1450, [2]MOE!B:C, 2, FALSE), "No")</f>
        <v>No</v>
      </c>
      <c r="Q1450" s="711"/>
      <c r="S1450" s="670" t="s">
        <v>2333</v>
      </c>
      <c r="T1450" s="668" t="s">
        <v>1023</v>
      </c>
    </row>
    <row r="1451" spans="1:20">
      <c r="A1451" s="679">
        <v>4422213</v>
      </c>
      <c r="B1451" s="677"/>
      <c r="C1451" s="672"/>
      <c r="D1451" s="672"/>
      <c r="E1451" s="676" t="s">
        <v>2234</v>
      </c>
      <c r="F1451" s="680" t="s">
        <v>2340</v>
      </c>
      <c r="G1451" s="710">
        <v>442</v>
      </c>
      <c r="H1451" s="682">
        <v>2213</v>
      </c>
      <c r="J1451" s="668" t="str">
        <f t="shared" si="243"/>
        <v>(b) Rental of Equipment</v>
      </c>
      <c r="L1451" s="668">
        <v>106</v>
      </c>
      <c r="M1451" s="669">
        <v>101</v>
      </c>
      <c r="N1451" s="668"/>
      <c r="O1451" s="668">
        <v>14</v>
      </c>
      <c r="P1451" s="668" t="str">
        <f>IFERROR(VLOOKUP(F1451, [2]MOE!B:C, 2, FALSE), "No")</f>
        <v>No</v>
      </c>
      <c r="Q1451" s="711"/>
      <c r="S1451" s="670" t="s">
        <v>2333</v>
      </c>
      <c r="T1451" s="668" t="s">
        <v>1025</v>
      </c>
    </row>
    <row r="1452" spans="1:20">
      <c r="A1452" s="679">
        <v>4002213</v>
      </c>
      <c r="B1452" s="677"/>
      <c r="C1452" s="672"/>
      <c r="D1452" s="672"/>
      <c r="E1452" s="676" t="s">
        <v>2236</v>
      </c>
      <c r="F1452" s="680" t="s">
        <v>2341</v>
      </c>
      <c r="G1452" s="710">
        <v>400</v>
      </c>
      <c r="H1452" s="682">
        <v>2213</v>
      </c>
      <c r="J1452" s="668" t="str">
        <f t="shared" si="243"/>
        <v>(c) Other Purchased Property Svcs</v>
      </c>
      <c r="L1452" s="668">
        <v>108</v>
      </c>
      <c r="M1452" s="669">
        <v>103</v>
      </c>
      <c r="N1452" s="668"/>
      <c r="O1452" s="668">
        <v>14</v>
      </c>
      <c r="P1452" s="668" t="str">
        <f>IFERROR(VLOOKUP(F1452, [2]MOE!B:C, 2, FALSE), "No")</f>
        <v>No</v>
      </c>
      <c r="Q1452" s="711"/>
      <c r="S1452" s="670" t="s">
        <v>2333</v>
      </c>
      <c r="T1452" s="668" t="s">
        <v>2238</v>
      </c>
    </row>
    <row r="1453" spans="1:20">
      <c r="A1453" s="671"/>
      <c r="B1453" s="677"/>
      <c r="C1453" s="672"/>
      <c r="D1453" s="672"/>
      <c r="E1453" s="676" t="s">
        <v>1395</v>
      </c>
      <c r="F1453" s="675"/>
      <c r="G1453" s="672"/>
      <c r="H1453" s="676"/>
      <c r="Q1453" s="711"/>
      <c r="S1453" s="670"/>
    </row>
    <row r="1454" spans="1:20">
      <c r="A1454" s="679">
        <v>5822213</v>
      </c>
      <c r="B1454" s="677"/>
      <c r="C1454" s="672"/>
      <c r="D1454" s="672"/>
      <c r="E1454" s="676" t="s">
        <v>2239</v>
      </c>
      <c r="F1454" s="680" t="s">
        <v>2342</v>
      </c>
      <c r="G1454" s="710">
        <v>582</v>
      </c>
      <c r="H1454" s="682">
        <v>2213</v>
      </c>
      <c r="J1454" s="668" t="str">
        <f t="shared" ref="J1454:J1455" si="244">E1454</f>
        <v>(a) Travel Expense Reimbursement</v>
      </c>
      <c r="L1454" s="668">
        <v>118</v>
      </c>
      <c r="M1454" s="669">
        <v>109</v>
      </c>
      <c r="N1454" s="668"/>
      <c r="O1454" s="668">
        <v>14</v>
      </c>
      <c r="P1454" s="668" t="str">
        <f>IFERROR(VLOOKUP(F1454, [2]MOE!B:C, 2, FALSE), "No")</f>
        <v>No</v>
      </c>
      <c r="Q1454" s="711"/>
      <c r="S1454" s="670" t="s">
        <v>2333</v>
      </c>
      <c r="T1454" s="668" t="s">
        <v>1039</v>
      </c>
    </row>
    <row r="1455" spans="1:20">
      <c r="A1455" s="679">
        <v>5002213</v>
      </c>
      <c r="B1455" s="677"/>
      <c r="C1455" s="672"/>
      <c r="D1455" s="672"/>
      <c r="E1455" s="676" t="s">
        <v>2241</v>
      </c>
      <c r="F1455" s="680" t="s">
        <v>2343</v>
      </c>
      <c r="G1455" s="710">
        <v>500</v>
      </c>
      <c r="H1455" s="682">
        <v>2213</v>
      </c>
      <c r="J1455" s="668" t="str">
        <f t="shared" si="244"/>
        <v>(b) Other Purchased Services</v>
      </c>
      <c r="L1455" s="668">
        <v>119</v>
      </c>
      <c r="M1455" s="669">
        <v>110</v>
      </c>
      <c r="N1455" s="668"/>
      <c r="O1455" s="668">
        <v>14</v>
      </c>
      <c r="P1455" s="668" t="str">
        <f>IFERROR(VLOOKUP(F1455, [2]MOE!B:C, 2, FALSE), "No")</f>
        <v>No</v>
      </c>
      <c r="Q1455" s="711"/>
      <c r="S1455" s="670" t="s">
        <v>2333</v>
      </c>
      <c r="T1455" s="668" t="s">
        <v>252</v>
      </c>
    </row>
    <row r="1456" spans="1:20">
      <c r="A1456" s="671"/>
      <c r="B1456" s="677"/>
      <c r="C1456" s="672"/>
      <c r="D1456" s="672"/>
      <c r="E1456" s="676" t="s">
        <v>2243</v>
      </c>
      <c r="F1456" s="675"/>
      <c r="G1456" s="672"/>
      <c r="H1456" s="676"/>
      <c r="Q1456" s="711"/>
      <c r="S1456" s="670"/>
    </row>
    <row r="1457" spans="1:20">
      <c r="A1457" s="679">
        <v>6152213</v>
      </c>
      <c r="B1457" s="677"/>
      <c r="C1457" s="672"/>
      <c r="D1457" s="672"/>
      <c r="E1457" s="676" t="s">
        <v>2244</v>
      </c>
      <c r="F1457" s="680" t="s">
        <v>2344</v>
      </c>
      <c r="G1457" s="710">
        <v>615</v>
      </c>
      <c r="H1457" s="682">
        <v>2213</v>
      </c>
      <c r="J1457" s="668" t="str">
        <f t="shared" ref="J1457:J1459" si="245">E1457</f>
        <v>(a) Technology-Related Supplies</v>
      </c>
      <c r="L1457" s="668">
        <v>126</v>
      </c>
      <c r="M1457" s="669">
        <v>117</v>
      </c>
      <c r="N1457" s="668"/>
      <c r="O1457" s="668">
        <v>14</v>
      </c>
      <c r="P1457" s="668" t="str">
        <f>IFERROR(VLOOKUP(F1457, [2]MOE!B:C, 2, FALSE), "No")</f>
        <v>No</v>
      </c>
      <c r="Q1457" s="711" t="s">
        <v>1045</v>
      </c>
      <c r="S1457" s="670" t="s">
        <v>2333</v>
      </c>
      <c r="T1457" s="668" t="s">
        <v>1043</v>
      </c>
    </row>
    <row r="1458" spans="1:20">
      <c r="A1458" s="679">
        <v>6102213</v>
      </c>
      <c r="B1458" s="677"/>
      <c r="C1458" s="672"/>
      <c r="D1458" s="672"/>
      <c r="E1458" s="676" t="s">
        <v>2246</v>
      </c>
      <c r="F1458" s="680" t="s">
        <v>2345</v>
      </c>
      <c r="G1458" s="710">
        <v>610</v>
      </c>
      <c r="H1458" s="682">
        <v>2213</v>
      </c>
      <c r="J1458" s="668" t="str">
        <f t="shared" si="245"/>
        <v>(b) Materials and Supplies</v>
      </c>
      <c r="L1458" s="668">
        <v>122</v>
      </c>
      <c r="M1458" s="669">
        <v>113</v>
      </c>
      <c r="N1458" s="668"/>
      <c r="O1458" s="668">
        <v>14</v>
      </c>
      <c r="P1458" s="668" t="str">
        <f>IFERROR(VLOOKUP(F1458, [2]MOE!B:C, 2, FALSE), "No")</f>
        <v>No</v>
      </c>
      <c r="Q1458" s="711" t="s">
        <v>1045</v>
      </c>
      <c r="S1458" s="670" t="s">
        <v>2333</v>
      </c>
      <c r="T1458" s="668" t="s">
        <v>39</v>
      </c>
    </row>
    <row r="1459" spans="1:20">
      <c r="A1459" s="679">
        <v>6002213</v>
      </c>
      <c r="B1459" s="677"/>
      <c r="C1459" s="672"/>
      <c r="D1459" s="672"/>
      <c r="E1459" s="676" t="s">
        <v>2248</v>
      </c>
      <c r="F1459" s="680" t="s">
        <v>2346</v>
      </c>
      <c r="G1459" s="710">
        <v>600</v>
      </c>
      <c r="H1459" s="682">
        <v>2213</v>
      </c>
      <c r="J1459" s="668" t="str">
        <f t="shared" si="245"/>
        <v>(c) Other Supplies</v>
      </c>
      <c r="L1459" s="668">
        <v>126</v>
      </c>
      <c r="M1459" s="669">
        <v>117</v>
      </c>
      <c r="N1459" s="668"/>
      <c r="O1459" s="668">
        <v>14</v>
      </c>
      <c r="P1459" s="668" t="str">
        <f>IFERROR(VLOOKUP(F1459, [2]MOE!B:C, 2, FALSE), "No")</f>
        <v>No</v>
      </c>
      <c r="Q1459" s="711"/>
      <c r="S1459" s="670" t="s">
        <v>2333</v>
      </c>
      <c r="T1459" s="668" t="s">
        <v>1050</v>
      </c>
    </row>
    <row r="1460" spans="1:20">
      <c r="A1460" s="671"/>
      <c r="B1460" s="677"/>
      <c r="C1460" s="672"/>
      <c r="D1460" s="672"/>
      <c r="E1460" s="676" t="s">
        <v>2250</v>
      </c>
      <c r="F1460" s="675"/>
      <c r="G1460" s="672"/>
      <c r="H1460" s="676"/>
      <c r="Q1460" s="711"/>
      <c r="S1460" s="670"/>
    </row>
    <row r="1461" spans="1:20">
      <c r="A1461" s="679">
        <v>7342213</v>
      </c>
      <c r="B1461" s="677"/>
      <c r="C1461" s="672"/>
      <c r="D1461" s="672"/>
      <c r="E1461" s="676" t="s">
        <v>2251</v>
      </c>
      <c r="F1461" s="680" t="s">
        <v>2347</v>
      </c>
      <c r="G1461" s="710">
        <v>734</v>
      </c>
      <c r="H1461" s="682">
        <v>2213</v>
      </c>
      <c r="J1461" s="668" t="str">
        <f t="shared" ref="J1461:J1464" si="246">E1461</f>
        <v>(a) Technology-Related Hardware</v>
      </c>
      <c r="L1461" s="668">
        <v>131</v>
      </c>
      <c r="M1461" s="669">
        <v>122</v>
      </c>
      <c r="N1461" s="668"/>
      <c r="O1461" s="668">
        <v>14</v>
      </c>
      <c r="P1461" s="668" t="str">
        <f>IFERROR(VLOOKUP(F1461, [2]MOE!B:C, 2, FALSE), "No")</f>
        <v>No</v>
      </c>
      <c r="Q1461" s="711"/>
      <c r="S1461" s="670" t="s">
        <v>2333</v>
      </c>
      <c r="T1461" s="668" t="s">
        <v>1053</v>
      </c>
    </row>
    <row r="1462" spans="1:20">
      <c r="A1462" s="679">
        <v>7352213</v>
      </c>
      <c r="B1462" s="677"/>
      <c r="C1462" s="672"/>
      <c r="D1462" s="672"/>
      <c r="E1462" s="676" t="s">
        <v>2253</v>
      </c>
      <c r="F1462" s="680" t="s">
        <v>2348</v>
      </c>
      <c r="G1462" s="710">
        <v>735</v>
      </c>
      <c r="H1462" s="682">
        <v>2213</v>
      </c>
      <c r="J1462" s="668" t="str">
        <f t="shared" si="246"/>
        <v>(b) Technology Software</v>
      </c>
      <c r="L1462" s="668">
        <v>131</v>
      </c>
      <c r="M1462" s="669">
        <v>122</v>
      </c>
      <c r="N1462" s="668"/>
      <c r="O1462" s="668">
        <v>14</v>
      </c>
      <c r="P1462" s="668" t="str">
        <f>IFERROR(VLOOKUP(F1462, [2]MOE!B:C, 2, FALSE), "No")</f>
        <v>No</v>
      </c>
      <c r="Q1462" s="711"/>
      <c r="S1462" s="670" t="s">
        <v>2333</v>
      </c>
      <c r="T1462" s="668" t="s">
        <v>1055</v>
      </c>
    </row>
    <row r="1463" spans="1:20">
      <c r="A1463" s="679">
        <v>7302213</v>
      </c>
      <c r="B1463" s="677"/>
      <c r="C1463" s="672"/>
      <c r="D1463" s="672"/>
      <c r="E1463" s="676" t="s">
        <v>2255</v>
      </c>
      <c r="F1463" s="680" t="s">
        <v>2349</v>
      </c>
      <c r="G1463" s="710">
        <v>730</v>
      </c>
      <c r="H1463" s="682">
        <v>2213</v>
      </c>
      <c r="J1463" s="668" t="str">
        <f t="shared" si="246"/>
        <v>(c) All Other Equipment</v>
      </c>
      <c r="L1463" s="668">
        <v>131</v>
      </c>
      <c r="M1463" s="669">
        <v>122</v>
      </c>
      <c r="N1463" s="668"/>
      <c r="O1463" s="668">
        <v>14</v>
      </c>
      <c r="P1463" s="668" t="str">
        <f>IFERROR(VLOOKUP(F1463, [2]MOE!B:C, 2, FALSE), "No")</f>
        <v>No</v>
      </c>
      <c r="Q1463" s="711"/>
      <c r="S1463" s="670" t="s">
        <v>2333</v>
      </c>
      <c r="T1463" s="668" t="s">
        <v>1057</v>
      </c>
    </row>
    <row r="1464" spans="1:20">
      <c r="A1464" s="679">
        <v>7002213</v>
      </c>
      <c r="B1464" s="677"/>
      <c r="C1464" s="672"/>
      <c r="D1464" s="672"/>
      <c r="E1464" s="676" t="s">
        <v>2257</v>
      </c>
      <c r="F1464" s="680" t="s">
        <v>2350</v>
      </c>
      <c r="G1464" s="710">
        <v>700</v>
      </c>
      <c r="H1464" s="682">
        <v>2213</v>
      </c>
      <c r="J1464" s="668" t="str">
        <f t="shared" si="246"/>
        <v>(d) Other Property</v>
      </c>
      <c r="L1464" s="668">
        <v>132</v>
      </c>
      <c r="M1464" s="669">
        <v>123</v>
      </c>
      <c r="N1464" s="668"/>
      <c r="O1464" s="668">
        <v>14</v>
      </c>
      <c r="P1464" s="668" t="str">
        <f>IFERROR(VLOOKUP(F1464, [2]MOE!B:C, 2, FALSE), "No")</f>
        <v>No</v>
      </c>
      <c r="Q1464" s="711"/>
      <c r="S1464" s="670" t="s">
        <v>2333</v>
      </c>
      <c r="T1464" s="668" t="s">
        <v>1059</v>
      </c>
    </row>
    <row r="1465" spans="1:20">
      <c r="A1465" s="671"/>
      <c r="B1465" s="677"/>
      <c r="C1465" s="672"/>
      <c r="D1465" s="672"/>
      <c r="E1465" s="676" t="s">
        <v>2259</v>
      </c>
      <c r="F1465" s="675"/>
      <c r="G1465" s="672"/>
      <c r="H1465" s="676"/>
      <c r="Q1465" s="711"/>
      <c r="S1465" s="670"/>
    </row>
    <row r="1466" spans="1:20">
      <c r="A1466" s="679">
        <v>8952213</v>
      </c>
      <c r="B1466" s="677"/>
      <c r="C1466" s="672"/>
      <c r="D1466" s="672"/>
      <c r="E1466" s="676" t="s">
        <v>2260</v>
      </c>
      <c r="F1466" s="680" t="s">
        <v>2351</v>
      </c>
      <c r="G1466" s="710">
        <v>895</v>
      </c>
      <c r="H1466" s="682">
        <v>2213</v>
      </c>
      <c r="J1466" s="668" t="str">
        <f t="shared" ref="J1466:J1467" si="247">E1466</f>
        <v>(a) Misc. Non-Public Expenditures</v>
      </c>
      <c r="L1466" s="668">
        <v>139</v>
      </c>
      <c r="M1466" s="669">
        <v>129</v>
      </c>
      <c r="N1466" s="668"/>
      <c r="O1466" s="668">
        <v>14</v>
      </c>
      <c r="P1466" s="668" t="str">
        <f>IFERROR(VLOOKUP(F1466, [2]MOE!B:C, 2, FALSE), "No")</f>
        <v>No</v>
      </c>
      <c r="Q1466" s="711"/>
      <c r="S1466" s="670" t="s">
        <v>2333</v>
      </c>
      <c r="T1466" s="668" t="s">
        <v>2262</v>
      </c>
    </row>
    <row r="1467" spans="1:20">
      <c r="A1467" s="679">
        <v>8002213</v>
      </c>
      <c r="B1467" s="677"/>
      <c r="C1467" s="672"/>
      <c r="D1467" s="672"/>
      <c r="E1467" s="676" t="s">
        <v>2263</v>
      </c>
      <c r="F1467" s="680" t="s">
        <v>2352</v>
      </c>
      <c r="G1467" s="710">
        <v>800</v>
      </c>
      <c r="H1467" s="682">
        <v>2213</v>
      </c>
      <c r="J1467" s="668" t="str">
        <f t="shared" si="247"/>
        <v>(b) Other Miscellaneous Expenditures</v>
      </c>
      <c r="L1467" s="668">
        <v>139</v>
      </c>
      <c r="M1467" s="669">
        <v>129</v>
      </c>
      <c r="N1467" s="668"/>
      <c r="O1467" s="668">
        <v>14</v>
      </c>
      <c r="P1467" s="668" t="str">
        <f>IFERROR(VLOOKUP(F1467, [2]MOE!B:C, 2, FALSE), "No")</f>
        <v>No</v>
      </c>
      <c r="Q1467" s="711"/>
      <c r="S1467" s="670" t="s">
        <v>2333</v>
      </c>
      <c r="T1467" s="668" t="s">
        <v>1063</v>
      </c>
    </row>
    <row r="1468" spans="1:20">
      <c r="A1468" s="671"/>
      <c r="B1468" s="677"/>
      <c r="C1468" s="672"/>
      <c r="D1468" s="672"/>
      <c r="E1468" s="676" t="s">
        <v>2265</v>
      </c>
      <c r="F1468" s="675"/>
      <c r="G1468" s="672"/>
      <c r="H1468" s="676"/>
      <c r="Q1468" s="711"/>
      <c r="S1468" s="670"/>
    </row>
    <row r="1469" spans="1:20">
      <c r="A1469" s="679">
        <v>2102213</v>
      </c>
      <c r="B1469" s="677"/>
      <c r="C1469" s="672"/>
      <c r="D1469" s="672"/>
      <c r="E1469" s="676" t="s">
        <v>2266</v>
      </c>
      <c r="F1469" s="680" t="s">
        <v>2353</v>
      </c>
      <c r="G1469" s="710">
        <v>210</v>
      </c>
      <c r="H1469" s="682">
        <v>2213</v>
      </c>
      <c r="J1469" s="668" t="str">
        <f t="shared" ref="J1469:J1471" si="248">E1469</f>
        <v>(a) Group Insurance</v>
      </c>
      <c r="L1469" s="668">
        <v>89</v>
      </c>
      <c r="M1469" s="669">
        <v>84</v>
      </c>
      <c r="N1469" s="668"/>
      <c r="O1469" s="668">
        <v>14</v>
      </c>
      <c r="P1469" s="668" t="str">
        <f>IFERROR(VLOOKUP(F1469, [2]MOE!B:C, 2, FALSE), "No")</f>
        <v>No</v>
      </c>
      <c r="Q1469" s="711" t="s">
        <v>1004</v>
      </c>
      <c r="S1469" s="670" t="s">
        <v>2333</v>
      </c>
      <c r="T1469" s="668" t="s">
        <v>1066</v>
      </c>
    </row>
    <row r="1470" spans="1:20">
      <c r="A1470" s="679">
        <v>2202213</v>
      </c>
      <c r="B1470" s="677"/>
      <c r="C1470" s="672"/>
      <c r="D1470" s="672"/>
      <c r="E1470" s="676" t="s">
        <v>2268</v>
      </c>
      <c r="F1470" s="680" t="s">
        <v>2354</v>
      </c>
      <c r="G1470" s="710">
        <v>220</v>
      </c>
      <c r="H1470" s="682">
        <v>2213</v>
      </c>
      <c r="J1470" s="668" t="str">
        <f t="shared" si="248"/>
        <v>(b) FICA</v>
      </c>
      <c r="L1470" s="668">
        <v>90</v>
      </c>
      <c r="M1470" s="669">
        <v>85</v>
      </c>
      <c r="N1470" s="668"/>
      <c r="O1470" s="668">
        <v>14</v>
      </c>
      <c r="P1470" s="668" t="str">
        <f>IFERROR(VLOOKUP(F1470, [2]MOE!B:C, 2, FALSE), "No")</f>
        <v>No</v>
      </c>
      <c r="Q1470" s="711" t="s">
        <v>1004</v>
      </c>
      <c r="S1470" s="670" t="s">
        <v>2333</v>
      </c>
      <c r="T1470" s="668" t="s">
        <v>1068</v>
      </c>
    </row>
    <row r="1471" spans="1:20">
      <c r="A1471" s="679">
        <v>2252213</v>
      </c>
      <c r="B1471" s="677"/>
      <c r="C1471" s="672"/>
      <c r="D1471" s="672"/>
      <c r="E1471" s="676" t="s">
        <v>2270</v>
      </c>
      <c r="F1471" s="680" t="s">
        <v>2355</v>
      </c>
      <c r="G1471" s="710">
        <v>225</v>
      </c>
      <c r="H1471" s="682">
        <v>2213</v>
      </c>
      <c r="J1471" s="668" t="str">
        <f t="shared" si="248"/>
        <v>(c) Medicare</v>
      </c>
      <c r="L1471" s="668">
        <v>91</v>
      </c>
      <c r="M1471" s="669">
        <v>86</v>
      </c>
      <c r="N1471" s="668"/>
      <c r="O1471" s="668">
        <v>14</v>
      </c>
      <c r="P1471" s="668" t="str">
        <f>IFERROR(VLOOKUP(F1471, [2]MOE!B:C, 2, FALSE), "No")</f>
        <v>No</v>
      </c>
      <c r="Q1471" s="711" t="s">
        <v>1004</v>
      </c>
      <c r="S1471" s="670" t="s">
        <v>2333</v>
      </c>
      <c r="T1471" s="668" t="s">
        <v>23</v>
      </c>
    </row>
    <row r="1472" spans="1:20">
      <c r="A1472" s="671"/>
      <c r="B1472" s="677"/>
      <c r="C1472" s="672"/>
      <c r="D1472" s="672"/>
      <c r="E1472" s="676" t="s">
        <v>2272</v>
      </c>
      <c r="F1472" s="675"/>
      <c r="G1472" s="672"/>
      <c r="H1472" s="676"/>
      <c r="Q1472" s="711"/>
      <c r="S1472" s="670"/>
    </row>
    <row r="1473" spans="1:20">
      <c r="A1473" s="679">
        <v>2312213</v>
      </c>
      <c r="B1473" s="677"/>
      <c r="C1473" s="672"/>
      <c r="D1473" s="672"/>
      <c r="E1473" s="676" t="s">
        <v>2273</v>
      </c>
      <c r="F1473" s="680" t="s">
        <v>2356</v>
      </c>
      <c r="G1473" s="710">
        <v>231</v>
      </c>
      <c r="H1473" s="682">
        <v>2213</v>
      </c>
      <c r="J1473" s="668" t="str">
        <f t="shared" ref="J1473:J1481" si="249">E1473</f>
        <v>1) Louisiana Teachers Retirement</v>
      </c>
      <c r="L1473" s="668">
        <v>92</v>
      </c>
      <c r="M1473" s="669">
        <v>87</v>
      </c>
      <c r="N1473" s="668"/>
      <c r="O1473" s="668">
        <v>14</v>
      </c>
      <c r="P1473" s="668" t="str">
        <f>IFERROR(VLOOKUP(F1473, [2]MOE!B:C, 2, FALSE), "No")</f>
        <v>No</v>
      </c>
      <c r="Q1473" s="711" t="s">
        <v>1004</v>
      </c>
      <c r="S1473" s="670" t="s">
        <v>2333</v>
      </c>
      <c r="T1473" s="668" t="s">
        <v>1074</v>
      </c>
    </row>
    <row r="1474" spans="1:20">
      <c r="A1474" s="679">
        <v>2332213</v>
      </c>
      <c r="B1474" s="677"/>
      <c r="C1474" s="672"/>
      <c r="D1474" s="672"/>
      <c r="E1474" s="676" t="s">
        <v>2275</v>
      </c>
      <c r="F1474" s="680" t="s">
        <v>2357</v>
      </c>
      <c r="G1474" s="710">
        <v>233</v>
      </c>
      <c r="H1474" s="682">
        <v>2213</v>
      </c>
      <c r="J1474" s="668" t="str">
        <f t="shared" si="249"/>
        <v>2) Louisiana School Emp. Retire.</v>
      </c>
      <c r="L1474" s="668">
        <v>92</v>
      </c>
      <c r="M1474" s="669">
        <v>87</v>
      </c>
      <c r="N1474" s="668"/>
      <c r="O1474" s="668">
        <v>14</v>
      </c>
      <c r="P1474" s="668" t="str">
        <f>IFERROR(VLOOKUP(F1474, [2]MOE!B:C, 2, FALSE), "No")</f>
        <v>No</v>
      </c>
      <c r="Q1474" s="711" t="s">
        <v>1004</v>
      </c>
      <c r="S1474" s="670" t="s">
        <v>2333</v>
      </c>
      <c r="T1474" s="668" t="s">
        <v>2277</v>
      </c>
    </row>
    <row r="1475" spans="1:20">
      <c r="A1475" s="679">
        <v>2392213</v>
      </c>
      <c r="B1475" s="677"/>
      <c r="C1475" s="672"/>
      <c r="D1475" s="672"/>
      <c r="E1475" s="676" t="s">
        <v>2278</v>
      </c>
      <c r="F1475" s="680" t="s">
        <v>2358</v>
      </c>
      <c r="G1475" s="710">
        <v>239</v>
      </c>
      <c r="H1475" s="682">
        <v>2213</v>
      </c>
      <c r="J1475" s="668" t="str">
        <f t="shared" si="249"/>
        <v>3) Other Retirement</v>
      </c>
      <c r="L1475" s="668">
        <v>92</v>
      </c>
      <c r="M1475" s="669">
        <v>87</v>
      </c>
      <c r="N1475" s="668"/>
      <c r="O1475" s="668">
        <v>14</v>
      </c>
      <c r="P1475" s="668" t="str">
        <f>IFERROR(VLOOKUP(F1475, [2]MOE!B:C, 2, FALSE), "No")</f>
        <v>No</v>
      </c>
      <c r="Q1475" s="711" t="s">
        <v>1004</v>
      </c>
      <c r="S1475" s="670" t="s">
        <v>2333</v>
      </c>
      <c r="T1475" s="668" t="s">
        <v>1080</v>
      </c>
    </row>
    <row r="1476" spans="1:20">
      <c r="A1476" s="679">
        <v>2502213</v>
      </c>
      <c r="B1476" s="677"/>
      <c r="C1476" s="672"/>
      <c r="D1476" s="672"/>
      <c r="E1476" s="676" t="s">
        <v>2280</v>
      </c>
      <c r="F1476" s="680" t="s">
        <v>2359</v>
      </c>
      <c r="G1476" s="710">
        <v>250</v>
      </c>
      <c r="H1476" s="682">
        <v>2213</v>
      </c>
      <c r="J1476" s="668" t="str">
        <f t="shared" si="249"/>
        <v>(e) Unemployment Compensation</v>
      </c>
      <c r="L1476" s="668">
        <v>93</v>
      </c>
      <c r="M1476" s="669">
        <v>88</v>
      </c>
      <c r="N1476" s="668"/>
      <c r="O1476" s="668">
        <v>14</v>
      </c>
      <c r="P1476" s="668" t="str">
        <f>IFERROR(VLOOKUP(F1476, [2]MOE!B:C, 2, FALSE), "No")</f>
        <v>No</v>
      </c>
      <c r="Q1476" s="711" t="s">
        <v>1004</v>
      </c>
      <c r="S1476" s="670" t="s">
        <v>2333</v>
      </c>
      <c r="T1476" s="668" t="s">
        <v>1081</v>
      </c>
    </row>
    <row r="1477" spans="1:20">
      <c r="A1477" s="679">
        <v>2602213</v>
      </c>
      <c r="B1477" s="677"/>
      <c r="C1477" s="672"/>
      <c r="D1477" s="672"/>
      <c r="E1477" s="676" t="s">
        <v>2282</v>
      </c>
      <c r="F1477" s="680" t="s">
        <v>2360</v>
      </c>
      <c r="G1477" s="710">
        <v>260</v>
      </c>
      <c r="H1477" s="682">
        <v>2213</v>
      </c>
      <c r="J1477" s="668" t="str">
        <f t="shared" si="249"/>
        <v>(f) Workmen's Compensation</v>
      </c>
      <c r="L1477" s="668">
        <v>95</v>
      </c>
      <c r="M1477" s="669">
        <v>90</v>
      </c>
      <c r="N1477" s="668"/>
      <c r="O1477" s="668">
        <v>14</v>
      </c>
      <c r="P1477" s="668" t="str">
        <f>IFERROR(VLOOKUP(F1477, [2]MOE!B:C, 2, FALSE), "No")</f>
        <v>No</v>
      </c>
      <c r="Q1477" s="711" t="s">
        <v>1004</v>
      </c>
      <c r="S1477" s="670" t="s">
        <v>2333</v>
      </c>
      <c r="T1477" s="668" t="s">
        <v>1083</v>
      </c>
    </row>
    <row r="1478" spans="1:20">
      <c r="A1478" s="679">
        <v>2702213</v>
      </c>
      <c r="B1478" s="677"/>
      <c r="C1478" s="672"/>
      <c r="D1478" s="672"/>
      <c r="E1478" s="676" t="s">
        <v>2284</v>
      </c>
      <c r="F1478" s="680" t="s">
        <v>2361</v>
      </c>
      <c r="G1478" s="710">
        <v>270</v>
      </c>
      <c r="H1478" s="682">
        <v>2213</v>
      </c>
      <c r="J1478" s="668" t="str">
        <f t="shared" si="249"/>
        <v>(g) Health Benefits (retirees)</v>
      </c>
      <c r="L1478" s="668">
        <v>94</v>
      </c>
      <c r="M1478" s="669">
        <v>89</v>
      </c>
      <c r="N1478" s="668"/>
      <c r="O1478" s="668">
        <v>14</v>
      </c>
      <c r="P1478" s="668" t="str">
        <f>IFERROR(VLOOKUP(F1478, [2]MOE!B:C, 2, FALSE), "No")</f>
        <v>No</v>
      </c>
      <c r="Q1478" s="711" t="s">
        <v>1004</v>
      </c>
      <c r="S1478" s="670" t="s">
        <v>2333</v>
      </c>
      <c r="T1478" s="668" t="s">
        <v>1085</v>
      </c>
    </row>
    <row r="1479" spans="1:20">
      <c r="A1479" s="679">
        <v>2812213</v>
      </c>
      <c r="B1479" s="677"/>
      <c r="C1479" s="672"/>
      <c r="D1479" s="672"/>
      <c r="E1479" s="676" t="s">
        <v>2286</v>
      </c>
      <c r="F1479" s="680" t="s">
        <v>2362</v>
      </c>
      <c r="G1479" s="710">
        <v>281</v>
      </c>
      <c r="H1479" s="682">
        <v>2213</v>
      </c>
      <c r="J1479" s="668" t="str">
        <f t="shared" si="249"/>
        <v>(h) Sick Leave Severance Pay</v>
      </c>
      <c r="L1479" s="668">
        <v>95</v>
      </c>
      <c r="M1479" s="669">
        <v>90</v>
      </c>
      <c r="N1479" s="668"/>
      <c r="O1479" s="668">
        <v>14</v>
      </c>
      <c r="P1479" s="668" t="str">
        <f>IFERROR(VLOOKUP(F1479, [2]MOE!B:C, 2, FALSE), "No")</f>
        <v>No</v>
      </c>
      <c r="Q1479" s="711" t="s">
        <v>1004</v>
      </c>
      <c r="S1479" s="670" t="s">
        <v>2333</v>
      </c>
      <c r="T1479" s="668" t="s">
        <v>1087</v>
      </c>
    </row>
    <row r="1480" spans="1:20">
      <c r="A1480" s="679">
        <v>2822213</v>
      </c>
      <c r="B1480" s="677"/>
      <c r="C1480" s="672"/>
      <c r="D1480" s="672"/>
      <c r="E1480" s="676" t="s">
        <v>2288</v>
      </c>
      <c r="F1480" s="680" t="s">
        <v>2363</v>
      </c>
      <c r="G1480" s="710">
        <v>282</v>
      </c>
      <c r="H1480" s="682">
        <v>2213</v>
      </c>
      <c r="J1480" s="668" t="str">
        <f t="shared" si="249"/>
        <v>(i) Annual Leave Severance Pay</v>
      </c>
      <c r="L1480" s="668">
        <v>95</v>
      </c>
      <c r="M1480" s="669">
        <v>90</v>
      </c>
      <c r="N1480" s="668"/>
      <c r="O1480" s="668">
        <v>14</v>
      </c>
      <c r="P1480" s="668" t="str">
        <f>IFERROR(VLOOKUP(F1480, [2]MOE!B:C, 2, FALSE), "No")</f>
        <v>No</v>
      </c>
      <c r="Q1480" s="711" t="s">
        <v>1004</v>
      </c>
      <c r="S1480" s="670" t="s">
        <v>2333</v>
      </c>
      <c r="T1480" s="668" t="s">
        <v>1089</v>
      </c>
    </row>
    <row r="1481" spans="1:20">
      <c r="A1481" s="679">
        <v>2902213</v>
      </c>
      <c r="B1481" s="719"/>
      <c r="C1481" s="681"/>
      <c r="D1481" s="681"/>
      <c r="E1481" s="686" t="s">
        <v>2290</v>
      </c>
      <c r="F1481" s="680" t="s">
        <v>2364</v>
      </c>
      <c r="G1481" s="710">
        <v>290</v>
      </c>
      <c r="H1481" s="682">
        <v>2213</v>
      </c>
      <c r="J1481" s="668" t="str">
        <f t="shared" si="249"/>
        <v>(j) Other Employee Benefits</v>
      </c>
      <c r="L1481" s="668">
        <v>95</v>
      </c>
      <c r="M1481" s="669">
        <v>90</v>
      </c>
      <c r="N1481" s="668"/>
      <c r="O1481" s="668">
        <v>14</v>
      </c>
      <c r="P1481" s="668" t="str">
        <f>IFERROR(VLOOKUP(F1481, [2]MOE!B:C, 2, FALSE), "No")</f>
        <v>No</v>
      </c>
      <c r="Q1481" s="711" t="s">
        <v>1004</v>
      </c>
      <c r="S1481" s="670" t="s">
        <v>2333</v>
      </c>
      <c r="T1481" s="668" t="s">
        <v>1092</v>
      </c>
    </row>
    <row r="1482" spans="1:20">
      <c r="A1482" s="671"/>
      <c r="B1482" s="677"/>
      <c r="C1482" s="672"/>
      <c r="D1482" s="672" t="s">
        <v>805</v>
      </c>
      <c r="E1482" s="676" t="s">
        <v>2365</v>
      </c>
      <c r="F1482" s="675"/>
      <c r="G1482" s="672"/>
      <c r="H1482" s="676"/>
      <c r="Q1482" s="711"/>
      <c r="S1482" s="670"/>
    </row>
    <row r="1483" spans="1:20">
      <c r="A1483" s="671"/>
      <c r="B1483" s="677"/>
      <c r="C1483" s="672"/>
      <c r="D1483" s="672"/>
      <c r="E1483" s="725" t="s">
        <v>2366</v>
      </c>
      <c r="F1483" s="675"/>
      <c r="G1483" s="672"/>
      <c r="H1483" s="676"/>
      <c r="Q1483" s="711"/>
      <c r="S1483" s="670"/>
    </row>
    <row r="1484" spans="1:20">
      <c r="A1484" s="671"/>
      <c r="B1484" s="677"/>
      <c r="C1484" s="672"/>
      <c r="D1484" s="672"/>
      <c r="E1484" s="726" t="s">
        <v>2367</v>
      </c>
      <c r="F1484" s="675"/>
      <c r="G1484" s="672"/>
      <c r="H1484" s="676"/>
      <c r="Q1484" s="711"/>
      <c r="S1484" s="670"/>
    </row>
    <row r="1485" spans="1:20">
      <c r="A1485" s="671"/>
      <c r="B1485" s="677"/>
      <c r="C1485" s="672"/>
      <c r="D1485" s="672"/>
      <c r="E1485" s="676" t="s">
        <v>2368</v>
      </c>
      <c r="F1485" s="675"/>
      <c r="G1485" s="672"/>
      <c r="H1485" s="676"/>
      <c r="Q1485" s="711"/>
      <c r="S1485" s="670"/>
    </row>
    <row r="1486" spans="1:20">
      <c r="A1486" s="679">
        <v>1112214</v>
      </c>
      <c r="B1486" s="677"/>
      <c r="C1486" s="672"/>
      <c r="D1486" s="672"/>
      <c r="E1486" s="676" t="s">
        <v>2215</v>
      </c>
      <c r="F1486" s="680" t="s">
        <v>2369</v>
      </c>
      <c r="G1486" s="710">
        <v>111</v>
      </c>
      <c r="H1486" s="682">
        <v>2214</v>
      </c>
      <c r="J1486" s="668" t="str">
        <f t="shared" ref="J1486:J1491" si="250">E1486</f>
        <v>(a) Director/Supervisors</v>
      </c>
      <c r="L1486" s="668">
        <v>81</v>
      </c>
      <c r="M1486" s="669">
        <v>76</v>
      </c>
      <c r="N1486" s="668"/>
      <c r="O1486" s="668">
        <v>14</v>
      </c>
      <c r="P1486" s="668" t="str">
        <f>IFERROR(VLOOKUP(F1486, [2]MOE!B:C, 2, FALSE), "No")</f>
        <v>No</v>
      </c>
      <c r="Q1486" s="711" t="s">
        <v>1004</v>
      </c>
      <c r="S1486" s="670" t="s">
        <v>2370</v>
      </c>
      <c r="T1486" s="668" t="s">
        <v>2218</v>
      </c>
    </row>
    <row r="1487" spans="1:20">
      <c r="A1487" s="679">
        <v>1132214</v>
      </c>
      <c r="B1487" s="677"/>
      <c r="C1487" s="672"/>
      <c r="D1487" s="672"/>
      <c r="E1487" s="676" t="s">
        <v>2219</v>
      </c>
      <c r="F1487" s="680" t="s">
        <v>2371</v>
      </c>
      <c r="G1487" s="710">
        <v>113</v>
      </c>
      <c r="H1487" s="682">
        <v>2214</v>
      </c>
      <c r="J1487" s="668" t="str">
        <f t="shared" si="250"/>
        <v>(b) Specialists</v>
      </c>
      <c r="L1487" s="668">
        <v>83</v>
      </c>
      <c r="M1487" s="669">
        <v>78</v>
      </c>
      <c r="N1487" s="668"/>
      <c r="O1487" s="668">
        <v>14</v>
      </c>
      <c r="P1487" s="668" t="str">
        <f>IFERROR(VLOOKUP(F1487, [2]MOE!B:C, 2, FALSE), "No")</f>
        <v>No</v>
      </c>
      <c r="Q1487" s="711" t="s">
        <v>1004</v>
      </c>
      <c r="S1487" s="670" t="s">
        <v>2370</v>
      </c>
      <c r="T1487" s="668" t="s">
        <v>2221</v>
      </c>
    </row>
    <row r="1488" spans="1:20">
      <c r="A1488" s="679">
        <v>1142214</v>
      </c>
      <c r="B1488" s="677"/>
      <c r="C1488" s="672"/>
      <c r="D1488" s="672"/>
      <c r="E1488" s="676" t="s">
        <v>2222</v>
      </c>
      <c r="F1488" s="680" t="s">
        <v>2372</v>
      </c>
      <c r="G1488" s="710">
        <v>114</v>
      </c>
      <c r="H1488" s="682">
        <v>2214</v>
      </c>
      <c r="J1488" s="668" t="str">
        <f t="shared" si="250"/>
        <v>(c) Clerical/Secretarial</v>
      </c>
      <c r="L1488" s="668">
        <v>84</v>
      </c>
      <c r="M1488" s="669">
        <v>79</v>
      </c>
      <c r="N1488" s="668"/>
      <c r="O1488" s="668">
        <v>14</v>
      </c>
      <c r="P1488" s="668" t="str">
        <f>IFERROR(VLOOKUP(F1488, [2]MOE!B:C, 2, FALSE), "No")</f>
        <v>No</v>
      </c>
      <c r="Q1488" s="711" t="s">
        <v>1004</v>
      </c>
      <c r="S1488" s="670" t="s">
        <v>2370</v>
      </c>
      <c r="T1488" s="668" t="s">
        <v>1854</v>
      </c>
    </row>
    <row r="1489" spans="1:20">
      <c r="A1489" s="679">
        <v>1002214</v>
      </c>
      <c r="B1489" s="677"/>
      <c r="C1489" s="672"/>
      <c r="D1489" s="672"/>
      <c r="E1489" s="676" t="s">
        <v>2224</v>
      </c>
      <c r="F1489" s="680" t="s">
        <v>2373</v>
      </c>
      <c r="G1489" s="710">
        <v>100</v>
      </c>
      <c r="H1489" s="682">
        <v>2214</v>
      </c>
      <c r="J1489" s="668" t="str">
        <f t="shared" si="250"/>
        <v>(d) Other Salaries</v>
      </c>
      <c r="L1489" s="668">
        <v>86</v>
      </c>
      <c r="M1489" s="669">
        <v>81</v>
      </c>
      <c r="N1489" s="668"/>
      <c r="O1489" s="668">
        <v>14</v>
      </c>
      <c r="P1489" s="668" t="str">
        <f>IFERROR(VLOOKUP(F1489, [2]MOE!B:C, 2, FALSE), "No")</f>
        <v>No</v>
      </c>
      <c r="Q1489" s="711" t="s">
        <v>1004</v>
      </c>
      <c r="S1489" s="670" t="s">
        <v>2370</v>
      </c>
      <c r="T1489" s="668" t="s">
        <v>1947</v>
      </c>
    </row>
    <row r="1490" spans="1:20">
      <c r="A1490" s="679">
        <v>1402214</v>
      </c>
      <c r="B1490" s="677"/>
      <c r="C1490" s="672"/>
      <c r="D1490" s="672"/>
      <c r="E1490" s="676" t="s">
        <v>2226</v>
      </c>
      <c r="F1490" s="680" t="s">
        <v>2374</v>
      </c>
      <c r="G1490" s="710">
        <v>140</v>
      </c>
      <c r="H1490" s="682">
        <v>2214</v>
      </c>
      <c r="J1490" s="668" t="str">
        <f t="shared" si="250"/>
        <v>(e) Sabbatical Leave</v>
      </c>
      <c r="L1490" s="668">
        <v>86</v>
      </c>
      <c r="M1490" s="669">
        <v>81</v>
      </c>
      <c r="N1490" s="668"/>
      <c r="O1490" s="668">
        <v>14</v>
      </c>
      <c r="P1490" s="668" t="str">
        <f>IFERROR(VLOOKUP(F1490, [2]MOE!B:C, 2, FALSE), "No")</f>
        <v>No</v>
      </c>
      <c r="Q1490" s="711" t="s">
        <v>1004</v>
      </c>
      <c r="S1490" s="670" t="s">
        <v>2370</v>
      </c>
      <c r="T1490" s="668" t="s">
        <v>1019</v>
      </c>
    </row>
    <row r="1491" spans="1:20">
      <c r="A1491" s="679">
        <v>3002214</v>
      </c>
      <c r="B1491" s="677"/>
      <c r="C1491" s="672"/>
      <c r="D1491" s="672"/>
      <c r="E1491" s="676" t="s">
        <v>2228</v>
      </c>
      <c r="F1491" s="680" t="s">
        <v>2375</v>
      </c>
      <c r="G1491" s="710">
        <v>300</v>
      </c>
      <c r="H1491" s="682">
        <v>2214</v>
      </c>
      <c r="J1491" s="668" t="str">
        <f t="shared" si="250"/>
        <v>(2) Purchased Professional and Tech. Svcs</v>
      </c>
      <c r="L1491" s="668">
        <v>101</v>
      </c>
      <c r="M1491" s="669">
        <v>96</v>
      </c>
      <c r="N1491" s="668"/>
      <c r="O1491" s="668">
        <v>14</v>
      </c>
      <c r="P1491" s="668" t="str">
        <f>IFERROR(VLOOKUP(F1491, [2]MOE!B:C, 2, FALSE), "No")</f>
        <v>No</v>
      </c>
      <c r="Q1491" s="711"/>
      <c r="S1491" s="670" t="s">
        <v>2370</v>
      </c>
      <c r="T1491" s="668" t="s">
        <v>2230</v>
      </c>
    </row>
    <row r="1492" spans="1:20">
      <c r="A1492" s="671"/>
      <c r="B1492" s="677"/>
      <c r="C1492" s="672"/>
      <c r="D1492" s="672"/>
      <c r="E1492" s="676" t="s">
        <v>2231</v>
      </c>
      <c r="F1492" s="675"/>
      <c r="G1492" s="672"/>
      <c r="H1492" s="676"/>
      <c r="Q1492" s="711"/>
      <c r="S1492" s="670"/>
    </row>
    <row r="1493" spans="1:20">
      <c r="A1493" s="679">
        <v>4302214</v>
      </c>
      <c r="B1493" s="677"/>
      <c r="C1493" s="672"/>
      <c r="D1493" s="672"/>
      <c r="E1493" s="676" t="s">
        <v>2232</v>
      </c>
      <c r="F1493" s="680" t="s">
        <v>2376</v>
      </c>
      <c r="G1493" s="710">
        <v>430</v>
      </c>
      <c r="H1493" s="682">
        <v>2214</v>
      </c>
      <c r="J1493" s="668" t="str">
        <f t="shared" ref="J1493:J1495" si="251">E1493</f>
        <v>(a) Repairs and Maintenance Services</v>
      </c>
      <c r="L1493" s="668">
        <v>107</v>
      </c>
      <c r="M1493" s="669">
        <v>102</v>
      </c>
      <c r="N1493" s="668"/>
      <c r="O1493" s="668">
        <v>14</v>
      </c>
      <c r="P1493" s="668" t="str">
        <f>IFERROR(VLOOKUP(F1493, [2]MOE!B:C, 2, FALSE), "No")</f>
        <v>No</v>
      </c>
      <c r="Q1493" s="711"/>
      <c r="S1493" s="670" t="s">
        <v>2370</v>
      </c>
      <c r="T1493" s="668" t="s">
        <v>1023</v>
      </c>
    </row>
    <row r="1494" spans="1:20">
      <c r="A1494" s="679">
        <v>4422214</v>
      </c>
      <c r="B1494" s="677"/>
      <c r="C1494" s="672"/>
      <c r="D1494" s="672"/>
      <c r="E1494" s="676" t="s">
        <v>2234</v>
      </c>
      <c r="F1494" s="680" t="s">
        <v>2377</v>
      </c>
      <c r="G1494" s="710">
        <v>442</v>
      </c>
      <c r="H1494" s="682">
        <v>2214</v>
      </c>
      <c r="J1494" s="668" t="str">
        <f t="shared" si="251"/>
        <v>(b) Rental of Equipment</v>
      </c>
      <c r="L1494" s="668">
        <v>106</v>
      </c>
      <c r="M1494" s="669">
        <v>101</v>
      </c>
      <c r="N1494" s="668"/>
      <c r="O1494" s="668">
        <v>14</v>
      </c>
      <c r="P1494" s="668" t="str">
        <f>IFERROR(VLOOKUP(F1494, [2]MOE!B:C, 2, FALSE), "No")</f>
        <v>No</v>
      </c>
      <c r="Q1494" s="711"/>
      <c r="S1494" s="670" t="s">
        <v>2370</v>
      </c>
      <c r="T1494" s="668" t="s">
        <v>1025</v>
      </c>
    </row>
    <row r="1495" spans="1:20">
      <c r="A1495" s="679">
        <v>4002214</v>
      </c>
      <c r="B1495" s="677"/>
      <c r="C1495" s="672"/>
      <c r="D1495" s="672"/>
      <c r="E1495" s="676" t="s">
        <v>2236</v>
      </c>
      <c r="F1495" s="680" t="s">
        <v>2378</v>
      </c>
      <c r="G1495" s="710">
        <v>400</v>
      </c>
      <c r="H1495" s="682">
        <v>2214</v>
      </c>
      <c r="J1495" s="668" t="str">
        <f t="shared" si="251"/>
        <v>(c) Other Purchased Property Svcs</v>
      </c>
      <c r="L1495" s="668">
        <v>108</v>
      </c>
      <c r="M1495" s="669">
        <v>103</v>
      </c>
      <c r="N1495" s="668"/>
      <c r="O1495" s="668">
        <v>14</v>
      </c>
      <c r="P1495" s="668" t="str">
        <f>IFERROR(VLOOKUP(F1495, [2]MOE!B:C, 2, FALSE), "No")</f>
        <v>No</v>
      </c>
      <c r="Q1495" s="711"/>
      <c r="S1495" s="670" t="s">
        <v>2370</v>
      </c>
      <c r="T1495" s="668" t="s">
        <v>2238</v>
      </c>
    </row>
    <row r="1496" spans="1:20">
      <c r="A1496" s="671"/>
      <c r="B1496" s="677"/>
      <c r="C1496" s="672"/>
      <c r="D1496" s="672"/>
      <c r="E1496" s="676" t="s">
        <v>1395</v>
      </c>
      <c r="F1496" s="675"/>
      <c r="G1496" s="672"/>
      <c r="H1496" s="676"/>
      <c r="Q1496" s="711"/>
      <c r="S1496" s="670"/>
    </row>
    <row r="1497" spans="1:20">
      <c r="A1497" s="679">
        <v>5822214</v>
      </c>
      <c r="B1497" s="677"/>
      <c r="C1497" s="672"/>
      <c r="D1497" s="672"/>
      <c r="E1497" s="676" t="s">
        <v>2239</v>
      </c>
      <c r="F1497" s="680" t="s">
        <v>2379</v>
      </c>
      <c r="G1497" s="710">
        <v>582</v>
      </c>
      <c r="H1497" s="682">
        <v>2214</v>
      </c>
      <c r="J1497" s="668" t="str">
        <f t="shared" ref="J1497:J1498" si="252">E1497</f>
        <v>(a) Travel Expense Reimbursement</v>
      </c>
      <c r="L1497" s="668">
        <v>118</v>
      </c>
      <c r="M1497" s="669">
        <v>109</v>
      </c>
      <c r="N1497" s="668"/>
      <c r="O1497" s="668">
        <v>14</v>
      </c>
      <c r="P1497" s="668" t="str">
        <f>IFERROR(VLOOKUP(F1497, [2]MOE!B:C, 2, FALSE), "No")</f>
        <v>No</v>
      </c>
      <c r="Q1497" s="711"/>
      <c r="S1497" s="670" t="s">
        <v>2370</v>
      </c>
      <c r="T1497" s="668" t="s">
        <v>1039</v>
      </c>
    </row>
    <row r="1498" spans="1:20">
      <c r="A1498" s="679">
        <v>5002214</v>
      </c>
      <c r="B1498" s="677"/>
      <c r="C1498" s="672"/>
      <c r="D1498" s="672"/>
      <c r="E1498" s="676" t="s">
        <v>2241</v>
      </c>
      <c r="F1498" s="680" t="s">
        <v>2380</v>
      </c>
      <c r="G1498" s="710">
        <v>500</v>
      </c>
      <c r="H1498" s="682">
        <v>2214</v>
      </c>
      <c r="J1498" s="668" t="str">
        <f t="shared" si="252"/>
        <v>(b) Other Purchased Services</v>
      </c>
      <c r="L1498" s="668">
        <v>119</v>
      </c>
      <c r="M1498" s="669">
        <v>110</v>
      </c>
      <c r="N1498" s="668"/>
      <c r="O1498" s="668">
        <v>14</v>
      </c>
      <c r="P1498" s="668" t="str">
        <f>IFERROR(VLOOKUP(F1498, [2]MOE!B:C, 2, FALSE), "No")</f>
        <v>No</v>
      </c>
      <c r="Q1498" s="711"/>
      <c r="S1498" s="670" t="s">
        <v>2370</v>
      </c>
      <c r="T1498" s="668" t="s">
        <v>252</v>
      </c>
    </row>
    <row r="1499" spans="1:20">
      <c r="A1499" s="671"/>
      <c r="B1499" s="677"/>
      <c r="C1499" s="672"/>
      <c r="D1499" s="672"/>
      <c r="E1499" s="676" t="s">
        <v>2243</v>
      </c>
      <c r="F1499" s="675"/>
      <c r="G1499" s="672"/>
      <c r="H1499" s="676"/>
      <c r="Q1499" s="711"/>
      <c r="S1499" s="670"/>
    </row>
    <row r="1500" spans="1:20">
      <c r="A1500" s="679">
        <v>6152214</v>
      </c>
      <c r="B1500" s="677"/>
      <c r="C1500" s="672"/>
      <c r="D1500" s="672"/>
      <c r="E1500" s="676" t="s">
        <v>2244</v>
      </c>
      <c r="F1500" s="680" t="s">
        <v>2381</v>
      </c>
      <c r="G1500" s="710">
        <v>615</v>
      </c>
      <c r="H1500" s="682">
        <v>2214</v>
      </c>
      <c r="J1500" s="668" t="str">
        <f t="shared" ref="J1500:J1502" si="253">E1500</f>
        <v>(a) Technology-Related Supplies</v>
      </c>
      <c r="L1500" s="668">
        <v>126</v>
      </c>
      <c r="M1500" s="669">
        <v>117</v>
      </c>
      <c r="N1500" s="668"/>
      <c r="O1500" s="668">
        <v>14</v>
      </c>
      <c r="P1500" s="668" t="str">
        <f>IFERROR(VLOOKUP(F1500, [2]MOE!B:C, 2, FALSE), "No")</f>
        <v>No</v>
      </c>
      <c r="Q1500" s="711" t="s">
        <v>1045</v>
      </c>
      <c r="S1500" s="670" t="s">
        <v>2370</v>
      </c>
      <c r="T1500" s="668" t="s">
        <v>1043</v>
      </c>
    </row>
    <row r="1501" spans="1:20">
      <c r="A1501" s="679">
        <v>6102214</v>
      </c>
      <c r="B1501" s="677"/>
      <c r="C1501" s="672"/>
      <c r="D1501" s="672"/>
      <c r="E1501" s="676" t="s">
        <v>2246</v>
      </c>
      <c r="F1501" s="680" t="s">
        <v>2382</v>
      </c>
      <c r="G1501" s="710">
        <v>610</v>
      </c>
      <c r="H1501" s="682">
        <v>2214</v>
      </c>
      <c r="J1501" s="668" t="str">
        <f t="shared" si="253"/>
        <v>(b) Materials and Supplies</v>
      </c>
      <c r="L1501" s="668">
        <v>122</v>
      </c>
      <c r="M1501" s="669">
        <v>113</v>
      </c>
      <c r="N1501" s="668"/>
      <c r="O1501" s="668">
        <v>14</v>
      </c>
      <c r="P1501" s="668" t="str">
        <f>IFERROR(VLOOKUP(F1501, [2]MOE!B:C, 2, FALSE), "No")</f>
        <v>No</v>
      </c>
      <c r="Q1501" s="711" t="s">
        <v>1045</v>
      </c>
      <c r="S1501" s="670" t="s">
        <v>2370</v>
      </c>
      <c r="T1501" s="668" t="s">
        <v>39</v>
      </c>
    </row>
    <row r="1502" spans="1:20">
      <c r="A1502" s="679">
        <v>6002214</v>
      </c>
      <c r="B1502" s="677"/>
      <c r="C1502" s="672"/>
      <c r="D1502" s="672"/>
      <c r="E1502" s="676" t="s">
        <v>2248</v>
      </c>
      <c r="F1502" s="680" t="s">
        <v>2383</v>
      </c>
      <c r="G1502" s="710">
        <v>600</v>
      </c>
      <c r="H1502" s="682">
        <v>2214</v>
      </c>
      <c r="J1502" s="668" t="str">
        <f t="shared" si="253"/>
        <v>(c) Other Supplies</v>
      </c>
      <c r="L1502" s="668">
        <v>126</v>
      </c>
      <c r="M1502" s="669">
        <v>117</v>
      </c>
      <c r="N1502" s="668"/>
      <c r="O1502" s="668">
        <v>14</v>
      </c>
      <c r="P1502" s="668" t="str">
        <f>IFERROR(VLOOKUP(F1502, [2]MOE!B:C, 2, FALSE), "No")</f>
        <v>No</v>
      </c>
      <c r="Q1502" s="711"/>
      <c r="S1502" s="670" t="s">
        <v>2370</v>
      </c>
      <c r="T1502" s="668" t="s">
        <v>1050</v>
      </c>
    </row>
    <row r="1503" spans="1:20">
      <c r="A1503" s="671"/>
      <c r="B1503" s="677"/>
      <c r="C1503" s="672"/>
      <c r="D1503" s="672"/>
      <c r="E1503" s="676" t="s">
        <v>2250</v>
      </c>
      <c r="F1503" s="675"/>
      <c r="G1503" s="672"/>
      <c r="H1503" s="676"/>
      <c r="Q1503" s="711"/>
      <c r="S1503" s="670"/>
    </row>
    <row r="1504" spans="1:20">
      <c r="A1504" s="679">
        <v>7342214</v>
      </c>
      <c r="B1504" s="677"/>
      <c r="C1504" s="672"/>
      <c r="D1504" s="672"/>
      <c r="E1504" s="676" t="s">
        <v>2251</v>
      </c>
      <c r="F1504" s="680" t="s">
        <v>2384</v>
      </c>
      <c r="G1504" s="710">
        <v>734</v>
      </c>
      <c r="H1504" s="682">
        <v>2214</v>
      </c>
      <c r="J1504" s="668" t="str">
        <f t="shared" ref="J1504:J1507" si="254">E1504</f>
        <v>(a) Technology-Related Hardware</v>
      </c>
      <c r="L1504" s="668">
        <v>131</v>
      </c>
      <c r="M1504" s="669">
        <v>122</v>
      </c>
      <c r="N1504" s="668"/>
      <c r="O1504" s="668">
        <v>14</v>
      </c>
      <c r="P1504" s="668" t="str">
        <f>IFERROR(VLOOKUP(F1504, [2]MOE!B:C, 2, FALSE), "No")</f>
        <v>No</v>
      </c>
      <c r="Q1504" s="711"/>
      <c r="S1504" s="670" t="s">
        <v>2370</v>
      </c>
      <c r="T1504" s="668" t="s">
        <v>1053</v>
      </c>
    </row>
    <row r="1505" spans="1:20">
      <c r="A1505" s="679">
        <v>7352214</v>
      </c>
      <c r="B1505" s="677"/>
      <c r="C1505" s="672"/>
      <c r="D1505" s="672"/>
      <c r="E1505" s="676" t="s">
        <v>2253</v>
      </c>
      <c r="F1505" s="680" t="s">
        <v>2385</v>
      </c>
      <c r="G1505" s="710">
        <v>735</v>
      </c>
      <c r="H1505" s="682">
        <v>2214</v>
      </c>
      <c r="J1505" s="668" t="str">
        <f t="shared" si="254"/>
        <v>(b) Technology Software</v>
      </c>
      <c r="L1505" s="668">
        <v>131</v>
      </c>
      <c r="M1505" s="669">
        <v>122</v>
      </c>
      <c r="N1505" s="668"/>
      <c r="O1505" s="668">
        <v>14</v>
      </c>
      <c r="P1505" s="668" t="str">
        <f>IFERROR(VLOOKUP(F1505, [2]MOE!B:C, 2, FALSE), "No")</f>
        <v>No</v>
      </c>
      <c r="Q1505" s="711"/>
      <c r="S1505" s="670" t="s">
        <v>2370</v>
      </c>
      <c r="T1505" s="668" t="s">
        <v>1055</v>
      </c>
    </row>
    <row r="1506" spans="1:20">
      <c r="A1506" s="679">
        <v>7302214</v>
      </c>
      <c r="B1506" s="677"/>
      <c r="C1506" s="672"/>
      <c r="D1506" s="672"/>
      <c r="E1506" s="676" t="s">
        <v>2255</v>
      </c>
      <c r="F1506" s="680" t="s">
        <v>2386</v>
      </c>
      <c r="G1506" s="710">
        <v>730</v>
      </c>
      <c r="H1506" s="682">
        <v>2214</v>
      </c>
      <c r="J1506" s="668" t="str">
        <f t="shared" si="254"/>
        <v>(c) All Other Equipment</v>
      </c>
      <c r="L1506" s="668">
        <v>131</v>
      </c>
      <c r="M1506" s="669">
        <v>122</v>
      </c>
      <c r="N1506" s="668"/>
      <c r="O1506" s="668">
        <v>14</v>
      </c>
      <c r="P1506" s="668" t="str">
        <f>IFERROR(VLOOKUP(F1506, [2]MOE!B:C, 2, FALSE), "No")</f>
        <v>No</v>
      </c>
      <c r="Q1506" s="711"/>
      <c r="S1506" s="670" t="s">
        <v>2370</v>
      </c>
      <c r="T1506" s="668" t="s">
        <v>1057</v>
      </c>
    </row>
    <row r="1507" spans="1:20">
      <c r="A1507" s="679">
        <v>7002214</v>
      </c>
      <c r="B1507" s="677"/>
      <c r="C1507" s="672"/>
      <c r="D1507" s="672"/>
      <c r="E1507" s="676" t="s">
        <v>2257</v>
      </c>
      <c r="F1507" s="680" t="s">
        <v>2387</v>
      </c>
      <c r="G1507" s="710">
        <v>700</v>
      </c>
      <c r="H1507" s="682">
        <v>2214</v>
      </c>
      <c r="J1507" s="668" t="str">
        <f t="shared" si="254"/>
        <v>(d) Other Property</v>
      </c>
      <c r="L1507" s="668">
        <v>132</v>
      </c>
      <c r="M1507" s="669">
        <v>123</v>
      </c>
      <c r="N1507" s="668"/>
      <c r="O1507" s="668">
        <v>14</v>
      </c>
      <c r="P1507" s="668" t="str">
        <f>IFERROR(VLOOKUP(F1507, [2]MOE!B:C, 2, FALSE), "No")</f>
        <v>No</v>
      </c>
      <c r="Q1507" s="711"/>
      <c r="S1507" s="670" t="s">
        <v>2370</v>
      </c>
      <c r="T1507" s="668" t="s">
        <v>1059</v>
      </c>
    </row>
    <row r="1508" spans="1:20">
      <c r="A1508" s="671"/>
      <c r="B1508" s="677"/>
      <c r="C1508" s="672"/>
      <c r="D1508" s="672"/>
      <c r="E1508" s="676" t="s">
        <v>2259</v>
      </c>
      <c r="F1508" s="675"/>
      <c r="G1508" s="672"/>
      <c r="H1508" s="676"/>
      <c r="Q1508" s="711"/>
      <c r="S1508" s="670"/>
    </row>
    <row r="1509" spans="1:20">
      <c r="A1509" s="679">
        <v>8952214</v>
      </c>
      <c r="B1509" s="677"/>
      <c r="C1509" s="672"/>
      <c r="D1509" s="672"/>
      <c r="E1509" s="676" t="s">
        <v>2260</v>
      </c>
      <c r="F1509" s="680" t="s">
        <v>2388</v>
      </c>
      <c r="G1509" s="710">
        <v>895</v>
      </c>
      <c r="H1509" s="682">
        <v>2214</v>
      </c>
      <c r="J1509" s="668" t="str">
        <f t="shared" ref="J1509:J1510" si="255">E1509</f>
        <v>(a) Misc. Non-Public Expenditures</v>
      </c>
      <c r="L1509" s="668">
        <v>139</v>
      </c>
      <c r="M1509" s="669">
        <v>129</v>
      </c>
      <c r="N1509" s="668"/>
      <c r="O1509" s="668">
        <v>14</v>
      </c>
      <c r="P1509" s="668" t="str">
        <f>IFERROR(VLOOKUP(F1509, [2]MOE!B:C, 2, FALSE), "No")</f>
        <v>No</v>
      </c>
      <c r="Q1509" s="711"/>
      <c r="S1509" s="670" t="s">
        <v>2370</v>
      </c>
      <c r="T1509" s="668" t="s">
        <v>2262</v>
      </c>
    </row>
    <row r="1510" spans="1:20">
      <c r="A1510" s="679">
        <v>8002214</v>
      </c>
      <c r="B1510" s="677"/>
      <c r="C1510" s="672"/>
      <c r="D1510" s="672"/>
      <c r="E1510" s="676" t="s">
        <v>2263</v>
      </c>
      <c r="F1510" s="680" t="s">
        <v>2389</v>
      </c>
      <c r="G1510" s="710">
        <v>800</v>
      </c>
      <c r="H1510" s="682">
        <v>2214</v>
      </c>
      <c r="J1510" s="668" t="str">
        <f t="shared" si="255"/>
        <v>(b) Other Miscellaneous Expenditures</v>
      </c>
      <c r="L1510" s="668">
        <v>139</v>
      </c>
      <c r="M1510" s="669">
        <v>129</v>
      </c>
      <c r="N1510" s="668"/>
      <c r="O1510" s="668">
        <v>14</v>
      </c>
      <c r="P1510" s="668" t="str">
        <f>IFERROR(VLOOKUP(F1510, [2]MOE!B:C, 2, FALSE), "No")</f>
        <v>No</v>
      </c>
      <c r="Q1510" s="711"/>
      <c r="S1510" s="670" t="s">
        <v>2370</v>
      </c>
      <c r="T1510" s="668" t="s">
        <v>1063</v>
      </c>
    </row>
    <row r="1511" spans="1:20">
      <c r="A1511" s="671"/>
      <c r="B1511" s="677"/>
      <c r="C1511" s="672"/>
      <c r="D1511" s="672"/>
      <c r="E1511" s="676" t="s">
        <v>2265</v>
      </c>
      <c r="F1511" s="675"/>
      <c r="G1511" s="672"/>
      <c r="H1511" s="676"/>
      <c r="Q1511" s="711"/>
      <c r="S1511" s="670"/>
    </row>
    <row r="1512" spans="1:20">
      <c r="A1512" s="679">
        <v>2102214</v>
      </c>
      <c r="B1512" s="677"/>
      <c r="C1512" s="672"/>
      <c r="D1512" s="672"/>
      <c r="E1512" s="676" t="s">
        <v>2266</v>
      </c>
      <c r="F1512" s="680" t="s">
        <v>2390</v>
      </c>
      <c r="G1512" s="710">
        <v>210</v>
      </c>
      <c r="H1512" s="682">
        <v>2214</v>
      </c>
      <c r="J1512" s="668" t="str">
        <f t="shared" ref="J1512:J1514" si="256">E1512</f>
        <v>(a) Group Insurance</v>
      </c>
      <c r="L1512" s="668">
        <v>89</v>
      </c>
      <c r="M1512" s="669">
        <v>84</v>
      </c>
      <c r="N1512" s="668"/>
      <c r="O1512" s="668">
        <v>14</v>
      </c>
      <c r="P1512" s="668" t="str">
        <f>IFERROR(VLOOKUP(F1512, [2]MOE!B:C, 2, FALSE), "No")</f>
        <v>No</v>
      </c>
      <c r="Q1512" s="711" t="s">
        <v>1004</v>
      </c>
      <c r="S1512" s="670" t="s">
        <v>2370</v>
      </c>
      <c r="T1512" s="668" t="s">
        <v>1066</v>
      </c>
    </row>
    <row r="1513" spans="1:20">
      <c r="A1513" s="679">
        <v>2202214</v>
      </c>
      <c r="B1513" s="677"/>
      <c r="C1513" s="672"/>
      <c r="D1513" s="672"/>
      <c r="E1513" s="676" t="s">
        <v>2268</v>
      </c>
      <c r="F1513" s="680" t="s">
        <v>2391</v>
      </c>
      <c r="G1513" s="710">
        <v>220</v>
      </c>
      <c r="H1513" s="682">
        <v>2214</v>
      </c>
      <c r="J1513" s="668" t="str">
        <f t="shared" si="256"/>
        <v>(b) FICA</v>
      </c>
      <c r="L1513" s="668">
        <v>90</v>
      </c>
      <c r="M1513" s="669">
        <v>85</v>
      </c>
      <c r="N1513" s="668"/>
      <c r="O1513" s="668">
        <v>14</v>
      </c>
      <c r="P1513" s="668" t="str">
        <f>IFERROR(VLOOKUP(F1513, [2]MOE!B:C, 2, FALSE), "No")</f>
        <v>No</v>
      </c>
      <c r="Q1513" s="711" t="s">
        <v>1004</v>
      </c>
      <c r="S1513" s="670" t="s">
        <v>2370</v>
      </c>
      <c r="T1513" s="668" t="s">
        <v>1068</v>
      </c>
    </row>
    <row r="1514" spans="1:20">
      <c r="A1514" s="679">
        <v>2252214</v>
      </c>
      <c r="B1514" s="677"/>
      <c r="C1514" s="672"/>
      <c r="D1514" s="672"/>
      <c r="E1514" s="676" t="s">
        <v>2270</v>
      </c>
      <c r="F1514" s="680" t="s">
        <v>2392</v>
      </c>
      <c r="G1514" s="710">
        <v>225</v>
      </c>
      <c r="H1514" s="682">
        <v>2214</v>
      </c>
      <c r="J1514" s="668" t="str">
        <f t="shared" si="256"/>
        <v>(c) Medicare</v>
      </c>
      <c r="L1514" s="668">
        <v>91</v>
      </c>
      <c r="M1514" s="669">
        <v>86</v>
      </c>
      <c r="N1514" s="668"/>
      <c r="O1514" s="668">
        <v>14</v>
      </c>
      <c r="P1514" s="668" t="str">
        <f>IFERROR(VLOOKUP(F1514, [2]MOE!B:C, 2, FALSE), "No")</f>
        <v>No</v>
      </c>
      <c r="Q1514" s="711" t="s">
        <v>1004</v>
      </c>
      <c r="S1514" s="670" t="s">
        <v>2370</v>
      </c>
      <c r="T1514" s="668" t="s">
        <v>23</v>
      </c>
    </row>
    <row r="1515" spans="1:20">
      <c r="A1515" s="671"/>
      <c r="B1515" s="677"/>
      <c r="C1515" s="672"/>
      <c r="D1515" s="672"/>
      <c r="E1515" s="676" t="s">
        <v>2272</v>
      </c>
      <c r="F1515" s="675"/>
      <c r="G1515" s="672"/>
      <c r="H1515" s="676"/>
      <c r="Q1515" s="711"/>
      <c r="S1515" s="670"/>
    </row>
    <row r="1516" spans="1:20">
      <c r="A1516" s="679">
        <v>2312214</v>
      </c>
      <c r="B1516" s="677"/>
      <c r="C1516" s="672"/>
      <c r="D1516" s="672"/>
      <c r="E1516" s="676" t="s">
        <v>2273</v>
      </c>
      <c r="F1516" s="680" t="s">
        <v>2393</v>
      </c>
      <c r="G1516" s="710">
        <v>231</v>
      </c>
      <c r="H1516" s="682">
        <v>2214</v>
      </c>
      <c r="J1516" s="668" t="str">
        <f t="shared" ref="J1516:J1524" si="257">E1516</f>
        <v>1) Louisiana Teachers Retirement</v>
      </c>
      <c r="L1516" s="668">
        <v>92</v>
      </c>
      <c r="M1516" s="669">
        <v>87</v>
      </c>
      <c r="N1516" s="668"/>
      <c r="O1516" s="668">
        <v>14</v>
      </c>
      <c r="P1516" s="668" t="str">
        <f>IFERROR(VLOOKUP(F1516, [2]MOE!B:C, 2, FALSE), "No")</f>
        <v>No</v>
      </c>
      <c r="Q1516" s="711" t="s">
        <v>1004</v>
      </c>
      <c r="S1516" s="670" t="s">
        <v>2370</v>
      </c>
      <c r="T1516" s="668" t="s">
        <v>1074</v>
      </c>
    </row>
    <row r="1517" spans="1:20">
      <c r="A1517" s="679">
        <v>2332214</v>
      </c>
      <c r="B1517" s="677"/>
      <c r="C1517" s="672"/>
      <c r="D1517" s="672"/>
      <c r="E1517" s="676" t="s">
        <v>2275</v>
      </c>
      <c r="F1517" s="680" t="s">
        <v>2394</v>
      </c>
      <c r="G1517" s="710">
        <v>233</v>
      </c>
      <c r="H1517" s="682">
        <v>2214</v>
      </c>
      <c r="J1517" s="668" t="str">
        <f t="shared" si="257"/>
        <v>2) Louisiana School Emp. Retire.</v>
      </c>
      <c r="L1517" s="668">
        <v>92</v>
      </c>
      <c r="M1517" s="669">
        <v>87</v>
      </c>
      <c r="N1517" s="668"/>
      <c r="O1517" s="668">
        <v>14</v>
      </c>
      <c r="P1517" s="668" t="str">
        <f>IFERROR(VLOOKUP(F1517, [2]MOE!B:C, 2, FALSE), "No")</f>
        <v>No</v>
      </c>
      <c r="Q1517" s="711" t="s">
        <v>1004</v>
      </c>
      <c r="S1517" s="670" t="s">
        <v>2370</v>
      </c>
      <c r="T1517" s="668" t="s">
        <v>2277</v>
      </c>
    </row>
    <row r="1518" spans="1:20">
      <c r="A1518" s="679">
        <v>2392214</v>
      </c>
      <c r="B1518" s="677"/>
      <c r="C1518" s="672"/>
      <c r="D1518" s="672"/>
      <c r="E1518" s="676" t="s">
        <v>2278</v>
      </c>
      <c r="F1518" s="680" t="s">
        <v>2395</v>
      </c>
      <c r="G1518" s="710">
        <v>239</v>
      </c>
      <c r="H1518" s="682">
        <v>2214</v>
      </c>
      <c r="J1518" s="668" t="str">
        <f t="shared" si="257"/>
        <v>3) Other Retirement</v>
      </c>
      <c r="L1518" s="668">
        <v>92</v>
      </c>
      <c r="M1518" s="669">
        <v>87</v>
      </c>
      <c r="N1518" s="668"/>
      <c r="O1518" s="668">
        <v>14</v>
      </c>
      <c r="P1518" s="668" t="str">
        <f>IFERROR(VLOOKUP(F1518, [2]MOE!B:C, 2, FALSE), "No")</f>
        <v>No</v>
      </c>
      <c r="Q1518" s="711" t="s">
        <v>1004</v>
      </c>
      <c r="S1518" s="670" t="s">
        <v>2370</v>
      </c>
      <c r="T1518" s="668" t="s">
        <v>1080</v>
      </c>
    </row>
    <row r="1519" spans="1:20">
      <c r="A1519" s="679">
        <v>2502214</v>
      </c>
      <c r="B1519" s="677"/>
      <c r="C1519" s="672"/>
      <c r="D1519" s="672"/>
      <c r="E1519" s="676" t="s">
        <v>2280</v>
      </c>
      <c r="F1519" s="680" t="s">
        <v>2396</v>
      </c>
      <c r="G1519" s="710">
        <v>250</v>
      </c>
      <c r="H1519" s="682">
        <v>2214</v>
      </c>
      <c r="J1519" s="668" t="str">
        <f t="shared" si="257"/>
        <v>(e) Unemployment Compensation</v>
      </c>
      <c r="L1519" s="668">
        <v>93</v>
      </c>
      <c r="M1519" s="669">
        <v>88</v>
      </c>
      <c r="N1519" s="668"/>
      <c r="O1519" s="668">
        <v>14</v>
      </c>
      <c r="P1519" s="668" t="str">
        <f>IFERROR(VLOOKUP(F1519, [2]MOE!B:C, 2, FALSE), "No")</f>
        <v>No</v>
      </c>
      <c r="Q1519" s="711" t="s">
        <v>1004</v>
      </c>
      <c r="S1519" s="670" t="s">
        <v>2370</v>
      </c>
      <c r="T1519" s="668" t="s">
        <v>1081</v>
      </c>
    </row>
    <row r="1520" spans="1:20">
      <c r="A1520" s="679">
        <v>2602214</v>
      </c>
      <c r="B1520" s="677"/>
      <c r="C1520" s="672"/>
      <c r="D1520" s="672"/>
      <c r="E1520" s="676" t="s">
        <v>2282</v>
      </c>
      <c r="F1520" s="680" t="s">
        <v>2397</v>
      </c>
      <c r="G1520" s="710">
        <v>260</v>
      </c>
      <c r="H1520" s="682">
        <v>2214</v>
      </c>
      <c r="J1520" s="668" t="str">
        <f t="shared" si="257"/>
        <v>(f) Workmen's Compensation</v>
      </c>
      <c r="L1520" s="668">
        <v>95</v>
      </c>
      <c r="M1520" s="669">
        <v>90</v>
      </c>
      <c r="N1520" s="668"/>
      <c r="O1520" s="668">
        <v>14</v>
      </c>
      <c r="P1520" s="668" t="str">
        <f>IFERROR(VLOOKUP(F1520, [2]MOE!B:C, 2, FALSE), "No")</f>
        <v>No</v>
      </c>
      <c r="Q1520" s="711" t="s">
        <v>1004</v>
      </c>
      <c r="S1520" s="670" t="s">
        <v>2370</v>
      </c>
      <c r="T1520" s="668" t="s">
        <v>1083</v>
      </c>
    </row>
    <row r="1521" spans="1:20">
      <c r="A1521" s="679">
        <v>2702214</v>
      </c>
      <c r="B1521" s="677"/>
      <c r="C1521" s="672"/>
      <c r="D1521" s="672"/>
      <c r="E1521" s="676" t="s">
        <v>2284</v>
      </c>
      <c r="F1521" s="680" t="s">
        <v>2398</v>
      </c>
      <c r="G1521" s="710">
        <v>270</v>
      </c>
      <c r="H1521" s="682">
        <v>2214</v>
      </c>
      <c r="J1521" s="668" t="str">
        <f t="shared" si="257"/>
        <v>(g) Health Benefits (retirees)</v>
      </c>
      <c r="L1521" s="668">
        <v>94</v>
      </c>
      <c r="M1521" s="669">
        <v>89</v>
      </c>
      <c r="N1521" s="668"/>
      <c r="O1521" s="668">
        <v>14</v>
      </c>
      <c r="P1521" s="668" t="str">
        <f>IFERROR(VLOOKUP(F1521, [2]MOE!B:C, 2, FALSE), "No")</f>
        <v>No</v>
      </c>
      <c r="Q1521" s="711" t="s">
        <v>1004</v>
      </c>
      <c r="S1521" s="670" t="s">
        <v>2370</v>
      </c>
      <c r="T1521" s="668" t="s">
        <v>1085</v>
      </c>
    </row>
    <row r="1522" spans="1:20">
      <c r="A1522" s="679">
        <v>2812214</v>
      </c>
      <c r="B1522" s="677"/>
      <c r="C1522" s="672"/>
      <c r="D1522" s="672"/>
      <c r="E1522" s="676" t="s">
        <v>2286</v>
      </c>
      <c r="F1522" s="680" t="s">
        <v>2399</v>
      </c>
      <c r="G1522" s="710">
        <v>281</v>
      </c>
      <c r="H1522" s="682">
        <v>2214</v>
      </c>
      <c r="J1522" s="668" t="str">
        <f t="shared" si="257"/>
        <v>(h) Sick Leave Severance Pay</v>
      </c>
      <c r="L1522" s="668">
        <v>95</v>
      </c>
      <c r="M1522" s="669">
        <v>90</v>
      </c>
      <c r="N1522" s="668"/>
      <c r="O1522" s="668">
        <v>14</v>
      </c>
      <c r="P1522" s="668" t="str">
        <f>IFERROR(VLOOKUP(F1522, [2]MOE!B:C, 2, FALSE), "No")</f>
        <v>No</v>
      </c>
      <c r="Q1522" s="711" t="s">
        <v>1004</v>
      </c>
      <c r="S1522" s="670" t="s">
        <v>2370</v>
      </c>
      <c r="T1522" s="668" t="s">
        <v>1087</v>
      </c>
    </row>
    <row r="1523" spans="1:20">
      <c r="A1523" s="679">
        <v>2822214</v>
      </c>
      <c r="B1523" s="677"/>
      <c r="C1523" s="672"/>
      <c r="D1523" s="672"/>
      <c r="E1523" s="676" t="s">
        <v>2288</v>
      </c>
      <c r="F1523" s="680" t="s">
        <v>2400</v>
      </c>
      <c r="G1523" s="710">
        <v>282</v>
      </c>
      <c r="H1523" s="682">
        <v>2214</v>
      </c>
      <c r="J1523" s="668" t="str">
        <f t="shared" si="257"/>
        <v>(i) Annual Leave Severance Pay</v>
      </c>
      <c r="L1523" s="668">
        <v>95</v>
      </c>
      <c r="M1523" s="669">
        <v>90</v>
      </c>
      <c r="N1523" s="668"/>
      <c r="O1523" s="668">
        <v>14</v>
      </c>
      <c r="P1523" s="668" t="str">
        <f>IFERROR(VLOOKUP(F1523, [2]MOE!B:C, 2, FALSE), "No")</f>
        <v>No</v>
      </c>
      <c r="Q1523" s="711" t="s">
        <v>1004</v>
      </c>
      <c r="S1523" s="670" t="s">
        <v>2370</v>
      </c>
      <c r="T1523" s="668" t="s">
        <v>1089</v>
      </c>
    </row>
    <row r="1524" spans="1:20">
      <c r="A1524" s="679">
        <v>2902214</v>
      </c>
      <c r="B1524" s="677"/>
      <c r="C1524" s="672"/>
      <c r="D1524" s="672"/>
      <c r="E1524" s="676" t="s">
        <v>2290</v>
      </c>
      <c r="F1524" s="680" t="s">
        <v>2401</v>
      </c>
      <c r="G1524" s="710">
        <v>290</v>
      </c>
      <c r="H1524" s="682">
        <v>2214</v>
      </c>
      <c r="J1524" s="668" t="str">
        <f t="shared" si="257"/>
        <v>(j) Other Employee Benefits</v>
      </c>
      <c r="L1524" s="668">
        <v>95</v>
      </c>
      <c r="M1524" s="669">
        <v>90</v>
      </c>
      <c r="N1524" s="668"/>
      <c r="O1524" s="668">
        <v>14</v>
      </c>
      <c r="P1524" s="668" t="str">
        <f>IFERROR(VLOOKUP(F1524, [2]MOE!B:C, 2, FALSE), "No")</f>
        <v>No</v>
      </c>
      <c r="Q1524" s="711" t="s">
        <v>1004</v>
      </c>
      <c r="S1524" s="670" t="s">
        <v>2370</v>
      </c>
      <c r="T1524" s="668" t="s">
        <v>1092</v>
      </c>
    </row>
    <row r="1525" spans="1:20">
      <c r="A1525" s="671"/>
      <c r="B1525" s="677"/>
      <c r="C1525" s="672"/>
      <c r="D1525" s="672" t="s">
        <v>850</v>
      </c>
      <c r="E1525" s="675" t="s">
        <v>2402</v>
      </c>
      <c r="F1525" s="675"/>
      <c r="G1525" s="672"/>
      <c r="H1525" s="676"/>
      <c r="Q1525" s="711"/>
      <c r="S1525" s="670"/>
    </row>
    <row r="1526" spans="1:20">
      <c r="A1526" s="671"/>
      <c r="B1526" s="677"/>
      <c r="C1526" s="672"/>
      <c r="D1526" s="672"/>
      <c r="E1526" s="676" t="s">
        <v>2403</v>
      </c>
      <c r="F1526" s="675"/>
      <c r="G1526" s="672"/>
      <c r="H1526" s="676"/>
      <c r="Q1526" s="711"/>
      <c r="S1526" s="670"/>
    </row>
    <row r="1527" spans="1:20">
      <c r="A1527" s="679">
        <v>1112215</v>
      </c>
      <c r="B1527" s="677"/>
      <c r="C1527" s="672"/>
      <c r="D1527" s="672"/>
      <c r="E1527" s="676" t="s">
        <v>2215</v>
      </c>
      <c r="F1527" s="680" t="s">
        <v>2404</v>
      </c>
      <c r="G1527" s="710">
        <v>111</v>
      </c>
      <c r="H1527" s="682">
        <v>2215</v>
      </c>
      <c r="J1527" s="668" t="str">
        <f t="shared" ref="J1527:J1532" si="258">E1527</f>
        <v>(a) Director/Supervisors</v>
      </c>
      <c r="L1527" s="668">
        <v>81</v>
      </c>
      <c r="M1527" s="669">
        <v>76</v>
      </c>
      <c r="N1527" s="668"/>
      <c r="O1527" s="668">
        <v>14</v>
      </c>
      <c r="P1527" s="668" t="str">
        <f>IFERROR(VLOOKUP(F1527, [2]MOE!B:C, 2, FALSE), "No")</f>
        <v>No</v>
      </c>
      <c r="Q1527" s="711" t="s">
        <v>1004</v>
      </c>
      <c r="S1527" s="670" t="s">
        <v>2405</v>
      </c>
      <c r="T1527" s="668" t="s">
        <v>2218</v>
      </c>
    </row>
    <row r="1528" spans="1:20">
      <c r="A1528" s="679">
        <v>1132215</v>
      </c>
      <c r="B1528" s="677"/>
      <c r="C1528" s="672"/>
      <c r="D1528" s="672"/>
      <c r="E1528" s="676" t="s">
        <v>2219</v>
      </c>
      <c r="F1528" s="680" t="s">
        <v>2406</v>
      </c>
      <c r="G1528" s="710">
        <v>113</v>
      </c>
      <c r="H1528" s="682">
        <v>2215</v>
      </c>
      <c r="J1528" s="668" t="str">
        <f t="shared" si="258"/>
        <v>(b) Specialists</v>
      </c>
      <c r="L1528" s="668">
        <v>83</v>
      </c>
      <c r="M1528" s="669">
        <v>78</v>
      </c>
      <c r="N1528" s="668"/>
      <c r="O1528" s="668">
        <v>14</v>
      </c>
      <c r="P1528" s="668" t="str">
        <f>IFERROR(VLOOKUP(F1528, [2]MOE!B:C, 2, FALSE), "No")</f>
        <v>No</v>
      </c>
      <c r="Q1528" s="711" t="s">
        <v>1004</v>
      </c>
      <c r="S1528" s="670" t="s">
        <v>2405</v>
      </c>
      <c r="T1528" s="668" t="s">
        <v>2221</v>
      </c>
    </row>
    <row r="1529" spans="1:20">
      <c r="A1529" s="679">
        <v>1142215</v>
      </c>
      <c r="B1529" s="677"/>
      <c r="C1529" s="672"/>
      <c r="D1529" s="672"/>
      <c r="E1529" s="676" t="s">
        <v>2222</v>
      </c>
      <c r="F1529" s="680" t="s">
        <v>2407</v>
      </c>
      <c r="G1529" s="710">
        <v>114</v>
      </c>
      <c r="H1529" s="682">
        <v>2215</v>
      </c>
      <c r="J1529" s="668" t="str">
        <f t="shared" si="258"/>
        <v>(c) Clerical/Secretarial</v>
      </c>
      <c r="L1529" s="668">
        <v>84</v>
      </c>
      <c r="M1529" s="669">
        <v>79</v>
      </c>
      <c r="N1529" s="668"/>
      <c r="O1529" s="668">
        <v>14</v>
      </c>
      <c r="P1529" s="668" t="str">
        <f>IFERROR(VLOOKUP(F1529, [2]MOE!B:C, 2, FALSE), "No")</f>
        <v>No</v>
      </c>
      <c r="Q1529" s="711" t="s">
        <v>1004</v>
      </c>
      <c r="S1529" s="670" t="s">
        <v>2405</v>
      </c>
      <c r="T1529" s="668" t="s">
        <v>1854</v>
      </c>
    </row>
    <row r="1530" spans="1:20">
      <c r="A1530" s="679">
        <v>1002215</v>
      </c>
      <c r="B1530" s="677"/>
      <c r="C1530" s="672"/>
      <c r="D1530" s="672"/>
      <c r="E1530" s="676" t="s">
        <v>2224</v>
      </c>
      <c r="F1530" s="680" t="s">
        <v>2408</v>
      </c>
      <c r="G1530" s="710">
        <v>100</v>
      </c>
      <c r="H1530" s="682">
        <v>2215</v>
      </c>
      <c r="J1530" s="668" t="str">
        <f t="shared" si="258"/>
        <v>(d) Other Salaries</v>
      </c>
      <c r="L1530" s="668">
        <v>86</v>
      </c>
      <c r="M1530" s="669">
        <v>81</v>
      </c>
      <c r="N1530" s="668"/>
      <c r="O1530" s="668">
        <v>14</v>
      </c>
      <c r="P1530" s="668" t="str">
        <f>IFERROR(VLOOKUP(F1530, [2]MOE!B:C, 2, FALSE), "No")</f>
        <v>No</v>
      </c>
      <c r="Q1530" s="711" t="s">
        <v>1004</v>
      </c>
      <c r="S1530" s="670" t="s">
        <v>2405</v>
      </c>
      <c r="T1530" s="668" t="s">
        <v>1947</v>
      </c>
    </row>
    <row r="1531" spans="1:20">
      <c r="A1531" s="679">
        <v>1402215</v>
      </c>
      <c r="B1531" s="677"/>
      <c r="C1531" s="672"/>
      <c r="D1531" s="672"/>
      <c r="E1531" s="676" t="s">
        <v>2226</v>
      </c>
      <c r="F1531" s="680" t="s">
        <v>2409</v>
      </c>
      <c r="G1531" s="710">
        <v>140</v>
      </c>
      <c r="H1531" s="682">
        <v>2215</v>
      </c>
      <c r="J1531" s="668" t="str">
        <f t="shared" si="258"/>
        <v>(e) Sabbatical Leave</v>
      </c>
      <c r="L1531" s="668">
        <v>86</v>
      </c>
      <c r="M1531" s="669">
        <v>81</v>
      </c>
      <c r="N1531" s="668"/>
      <c r="O1531" s="668">
        <v>14</v>
      </c>
      <c r="P1531" s="668" t="str">
        <f>IFERROR(VLOOKUP(F1531, [2]MOE!B:C, 2, FALSE), "No")</f>
        <v>No</v>
      </c>
      <c r="Q1531" s="711" t="s">
        <v>1004</v>
      </c>
      <c r="S1531" s="670" t="s">
        <v>2405</v>
      </c>
      <c r="T1531" s="668" t="s">
        <v>1019</v>
      </c>
    </row>
    <row r="1532" spans="1:20">
      <c r="A1532" s="679">
        <v>3002215</v>
      </c>
      <c r="B1532" s="719"/>
      <c r="C1532" s="681"/>
      <c r="D1532" s="681"/>
      <c r="E1532" s="686" t="s">
        <v>2228</v>
      </c>
      <c r="F1532" s="680" t="s">
        <v>2410</v>
      </c>
      <c r="G1532" s="710">
        <v>300</v>
      </c>
      <c r="H1532" s="682">
        <v>2215</v>
      </c>
      <c r="J1532" s="668" t="str">
        <f t="shared" si="258"/>
        <v>(2) Purchased Professional and Tech. Svcs</v>
      </c>
      <c r="L1532" s="668">
        <v>101</v>
      </c>
      <c r="M1532" s="669">
        <v>96</v>
      </c>
      <c r="N1532" s="668"/>
      <c r="O1532" s="668">
        <v>14</v>
      </c>
      <c r="P1532" s="668" t="str">
        <f>IFERROR(VLOOKUP(F1532, [2]MOE!B:C, 2, FALSE), "No")</f>
        <v>No</v>
      </c>
      <c r="Q1532" s="711"/>
      <c r="S1532" s="670" t="s">
        <v>2405</v>
      </c>
      <c r="T1532" s="668" t="s">
        <v>2230</v>
      </c>
    </row>
    <row r="1533" spans="1:20">
      <c r="A1533" s="671"/>
      <c r="B1533" s="677"/>
      <c r="C1533" s="672"/>
      <c r="D1533" s="672"/>
      <c r="E1533" s="676" t="s">
        <v>2231</v>
      </c>
      <c r="F1533" s="675"/>
      <c r="G1533" s="672"/>
      <c r="H1533" s="676"/>
      <c r="Q1533" s="711"/>
      <c r="S1533" s="670"/>
    </row>
    <row r="1534" spans="1:20">
      <c r="A1534" s="679">
        <v>4302215</v>
      </c>
      <c r="B1534" s="677"/>
      <c r="C1534" s="672"/>
      <c r="D1534" s="672"/>
      <c r="E1534" s="676" t="s">
        <v>2232</v>
      </c>
      <c r="F1534" s="680" t="s">
        <v>2411</v>
      </c>
      <c r="G1534" s="710">
        <v>430</v>
      </c>
      <c r="H1534" s="682">
        <v>2215</v>
      </c>
      <c r="J1534" s="668" t="str">
        <f t="shared" ref="J1534:J1536" si="259">E1534</f>
        <v>(a) Repairs and Maintenance Services</v>
      </c>
      <c r="L1534" s="668">
        <v>107</v>
      </c>
      <c r="M1534" s="669">
        <v>102</v>
      </c>
      <c r="N1534" s="668"/>
      <c r="O1534" s="668">
        <v>14</v>
      </c>
      <c r="P1534" s="668" t="str">
        <f>IFERROR(VLOOKUP(F1534, [2]MOE!B:C, 2, FALSE), "No")</f>
        <v>No</v>
      </c>
      <c r="Q1534" s="711"/>
      <c r="S1534" s="670" t="s">
        <v>2405</v>
      </c>
      <c r="T1534" s="668" t="s">
        <v>1023</v>
      </c>
    </row>
    <row r="1535" spans="1:20">
      <c r="A1535" s="679">
        <v>4422215</v>
      </c>
      <c r="B1535" s="677"/>
      <c r="C1535" s="672"/>
      <c r="D1535" s="672"/>
      <c r="E1535" s="676" t="s">
        <v>2234</v>
      </c>
      <c r="F1535" s="680" t="s">
        <v>2412</v>
      </c>
      <c r="G1535" s="710">
        <v>442</v>
      </c>
      <c r="H1535" s="682">
        <v>2215</v>
      </c>
      <c r="J1535" s="668" t="str">
        <f t="shared" si="259"/>
        <v>(b) Rental of Equipment</v>
      </c>
      <c r="L1535" s="668">
        <v>106</v>
      </c>
      <c r="M1535" s="669">
        <v>101</v>
      </c>
      <c r="N1535" s="668"/>
      <c r="O1535" s="668">
        <v>14</v>
      </c>
      <c r="P1535" s="668" t="str">
        <f>IFERROR(VLOOKUP(F1535, [2]MOE!B:C, 2, FALSE), "No")</f>
        <v>No</v>
      </c>
      <c r="Q1535" s="711"/>
      <c r="S1535" s="670" t="s">
        <v>2405</v>
      </c>
      <c r="T1535" s="668" t="s">
        <v>1025</v>
      </c>
    </row>
    <row r="1536" spans="1:20">
      <c r="A1536" s="679">
        <v>4002215</v>
      </c>
      <c r="B1536" s="677"/>
      <c r="C1536" s="672"/>
      <c r="D1536" s="672"/>
      <c r="E1536" s="676" t="s">
        <v>2236</v>
      </c>
      <c r="F1536" s="680" t="s">
        <v>2413</v>
      </c>
      <c r="G1536" s="710">
        <v>400</v>
      </c>
      <c r="H1536" s="682">
        <v>2215</v>
      </c>
      <c r="J1536" s="668" t="str">
        <f t="shared" si="259"/>
        <v>(c) Other Purchased Property Svcs</v>
      </c>
      <c r="L1536" s="668">
        <v>108</v>
      </c>
      <c r="M1536" s="669">
        <v>103</v>
      </c>
      <c r="N1536" s="668"/>
      <c r="O1536" s="668">
        <v>14</v>
      </c>
      <c r="P1536" s="668" t="str">
        <f>IFERROR(VLOOKUP(F1536, [2]MOE!B:C, 2, FALSE), "No")</f>
        <v>No</v>
      </c>
      <c r="Q1536" s="711"/>
      <c r="S1536" s="670" t="s">
        <v>2405</v>
      </c>
      <c r="T1536" s="668" t="s">
        <v>2238</v>
      </c>
    </row>
    <row r="1537" spans="1:20">
      <c r="A1537" s="671"/>
      <c r="B1537" s="677"/>
      <c r="C1537" s="672"/>
      <c r="D1537" s="672"/>
      <c r="E1537" s="676" t="s">
        <v>1395</v>
      </c>
      <c r="F1537" s="675"/>
      <c r="G1537" s="672"/>
      <c r="H1537" s="676"/>
      <c r="Q1537" s="711"/>
      <c r="S1537" s="670"/>
    </row>
    <row r="1538" spans="1:20">
      <c r="A1538" s="679">
        <v>5822215</v>
      </c>
      <c r="B1538" s="677"/>
      <c r="C1538" s="672"/>
      <c r="D1538" s="672"/>
      <c r="E1538" s="676" t="s">
        <v>2239</v>
      </c>
      <c r="F1538" s="680" t="s">
        <v>2414</v>
      </c>
      <c r="G1538" s="710">
        <v>582</v>
      </c>
      <c r="H1538" s="682">
        <v>2215</v>
      </c>
      <c r="J1538" s="668" t="str">
        <f t="shared" ref="J1538:J1539" si="260">E1538</f>
        <v>(a) Travel Expense Reimbursement</v>
      </c>
      <c r="L1538" s="668">
        <v>118</v>
      </c>
      <c r="M1538" s="669">
        <v>109</v>
      </c>
      <c r="N1538" s="668"/>
      <c r="O1538" s="668">
        <v>14</v>
      </c>
      <c r="P1538" s="668" t="str">
        <f>IFERROR(VLOOKUP(F1538, [2]MOE!B:C, 2, FALSE), "No")</f>
        <v>No</v>
      </c>
      <c r="Q1538" s="711"/>
      <c r="S1538" s="670" t="s">
        <v>2405</v>
      </c>
      <c r="T1538" s="668" t="s">
        <v>1039</v>
      </c>
    </row>
    <row r="1539" spans="1:20">
      <c r="A1539" s="679">
        <v>5002215</v>
      </c>
      <c r="B1539" s="677"/>
      <c r="C1539" s="672"/>
      <c r="D1539" s="672"/>
      <c r="E1539" s="676" t="s">
        <v>2241</v>
      </c>
      <c r="F1539" s="680" t="s">
        <v>2415</v>
      </c>
      <c r="G1539" s="710">
        <v>500</v>
      </c>
      <c r="H1539" s="682">
        <v>2215</v>
      </c>
      <c r="J1539" s="668" t="str">
        <f t="shared" si="260"/>
        <v>(b) Other Purchased Services</v>
      </c>
      <c r="L1539" s="668">
        <v>119</v>
      </c>
      <c r="M1539" s="669">
        <v>110</v>
      </c>
      <c r="N1539" s="668"/>
      <c r="O1539" s="668">
        <v>14</v>
      </c>
      <c r="P1539" s="668" t="str">
        <f>IFERROR(VLOOKUP(F1539, [2]MOE!B:C, 2, FALSE), "No")</f>
        <v>No</v>
      </c>
      <c r="Q1539" s="711"/>
      <c r="S1539" s="670" t="s">
        <v>2405</v>
      </c>
      <c r="T1539" s="668" t="s">
        <v>252</v>
      </c>
    </row>
    <row r="1540" spans="1:20">
      <c r="A1540" s="671"/>
      <c r="B1540" s="677"/>
      <c r="C1540" s="672"/>
      <c r="D1540" s="672"/>
      <c r="E1540" s="676" t="s">
        <v>2243</v>
      </c>
      <c r="F1540" s="675"/>
      <c r="G1540" s="672"/>
      <c r="H1540" s="676"/>
      <c r="Q1540" s="711"/>
      <c r="S1540" s="670"/>
    </row>
    <row r="1541" spans="1:20">
      <c r="A1541" s="679">
        <v>6152215</v>
      </c>
      <c r="B1541" s="677"/>
      <c r="C1541" s="672"/>
      <c r="D1541" s="672"/>
      <c r="E1541" s="676" t="s">
        <v>2244</v>
      </c>
      <c r="F1541" s="680" t="s">
        <v>2416</v>
      </c>
      <c r="G1541" s="710">
        <v>615</v>
      </c>
      <c r="H1541" s="682">
        <v>2215</v>
      </c>
      <c r="J1541" s="668" t="str">
        <f t="shared" ref="J1541:J1543" si="261">E1541</f>
        <v>(a) Technology-Related Supplies</v>
      </c>
      <c r="L1541" s="668">
        <v>126</v>
      </c>
      <c r="M1541" s="669">
        <v>117</v>
      </c>
      <c r="N1541" s="668"/>
      <c r="O1541" s="668">
        <v>14</v>
      </c>
      <c r="P1541" s="668" t="str">
        <f>IFERROR(VLOOKUP(F1541, [2]MOE!B:C, 2, FALSE), "No")</f>
        <v>No</v>
      </c>
      <c r="Q1541" s="711" t="s">
        <v>1045</v>
      </c>
      <c r="S1541" s="670" t="s">
        <v>2405</v>
      </c>
      <c r="T1541" s="668" t="s">
        <v>1043</v>
      </c>
    </row>
    <row r="1542" spans="1:20">
      <c r="A1542" s="679">
        <v>6102215</v>
      </c>
      <c r="B1542" s="677"/>
      <c r="C1542" s="672"/>
      <c r="D1542" s="672"/>
      <c r="E1542" s="676" t="s">
        <v>2246</v>
      </c>
      <c r="F1542" s="680" t="s">
        <v>2417</v>
      </c>
      <c r="G1542" s="710">
        <v>610</v>
      </c>
      <c r="H1542" s="682">
        <v>2215</v>
      </c>
      <c r="J1542" s="668" t="str">
        <f t="shared" si="261"/>
        <v>(b) Materials and Supplies</v>
      </c>
      <c r="L1542" s="668">
        <v>122</v>
      </c>
      <c r="M1542" s="669">
        <v>113</v>
      </c>
      <c r="N1542" s="668"/>
      <c r="O1542" s="668">
        <v>14</v>
      </c>
      <c r="P1542" s="668" t="str">
        <f>IFERROR(VLOOKUP(F1542, [2]MOE!B:C, 2, FALSE), "No")</f>
        <v>No</v>
      </c>
      <c r="Q1542" s="711" t="s">
        <v>1045</v>
      </c>
      <c r="S1542" s="670" t="s">
        <v>2405</v>
      </c>
      <c r="T1542" s="668" t="s">
        <v>39</v>
      </c>
    </row>
    <row r="1543" spans="1:20">
      <c r="A1543" s="679">
        <v>6002215</v>
      </c>
      <c r="B1543" s="677"/>
      <c r="C1543" s="672"/>
      <c r="D1543" s="672"/>
      <c r="E1543" s="676" t="s">
        <v>2248</v>
      </c>
      <c r="F1543" s="680" t="s">
        <v>2418</v>
      </c>
      <c r="G1543" s="710">
        <v>600</v>
      </c>
      <c r="H1543" s="682">
        <v>2215</v>
      </c>
      <c r="J1543" s="668" t="str">
        <f t="shared" si="261"/>
        <v>(c) Other Supplies</v>
      </c>
      <c r="L1543" s="668">
        <v>126</v>
      </c>
      <c r="M1543" s="669">
        <v>117</v>
      </c>
      <c r="N1543" s="668"/>
      <c r="O1543" s="668">
        <v>14</v>
      </c>
      <c r="P1543" s="668" t="str">
        <f>IFERROR(VLOOKUP(F1543, [2]MOE!B:C, 2, FALSE), "No")</f>
        <v>No</v>
      </c>
      <c r="Q1543" s="711"/>
      <c r="S1543" s="670" t="s">
        <v>2405</v>
      </c>
      <c r="T1543" s="668" t="s">
        <v>1050</v>
      </c>
    </row>
    <row r="1544" spans="1:20">
      <c r="A1544" s="671"/>
      <c r="B1544" s="677"/>
      <c r="C1544" s="672"/>
      <c r="D1544" s="672"/>
      <c r="E1544" s="676" t="s">
        <v>2250</v>
      </c>
      <c r="F1544" s="675"/>
      <c r="G1544" s="672"/>
      <c r="H1544" s="676"/>
      <c r="Q1544" s="711"/>
      <c r="S1544" s="670"/>
    </row>
    <row r="1545" spans="1:20">
      <c r="A1545" s="679">
        <v>7342215</v>
      </c>
      <c r="B1545" s="677"/>
      <c r="C1545" s="672"/>
      <c r="D1545" s="672"/>
      <c r="E1545" s="676" t="s">
        <v>2251</v>
      </c>
      <c r="F1545" s="680" t="s">
        <v>2419</v>
      </c>
      <c r="G1545" s="710">
        <v>734</v>
      </c>
      <c r="H1545" s="682">
        <v>2215</v>
      </c>
      <c r="J1545" s="668" t="str">
        <f t="shared" ref="J1545:J1548" si="262">E1545</f>
        <v>(a) Technology-Related Hardware</v>
      </c>
      <c r="L1545" s="668">
        <v>131</v>
      </c>
      <c r="M1545" s="669">
        <v>122</v>
      </c>
      <c r="N1545" s="668"/>
      <c r="O1545" s="668">
        <v>14</v>
      </c>
      <c r="P1545" s="668" t="str">
        <f>IFERROR(VLOOKUP(F1545, [2]MOE!B:C, 2, FALSE), "No")</f>
        <v>No</v>
      </c>
      <c r="Q1545" s="711"/>
      <c r="S1545" s="670" t="s">
        <v>2405</v>
      </c>
      <c r="T1545" s="668" t="s">
        <v>1053</v>
      </c>
    </row>
    <row r="1546" spans="1:20">
      <c r="A1546" s="679">
        <v>7352215</v>
      </c>
      <c r="B1546" s="677"/>
      <c r="C1546" s="672"/>
      <c r="D1546" s="672"/>
      <c r="E1546" s="676" t="s">
        <v>2253</v>
      </c>
      <c r="F1546" s="680" t="s">
        <v>2420</v>
      </c>
      <c r="G1546" s="710">
        <v>735</v>
      </c>
      <c r="H1546" s="682">
        <v>2215</v>
      </c>
      <c r="J1546" s="668" t="str">
        <f t="shared" si="262"/>
        <v>(b) Technology Software</v>
      </c>
      <c r="L1546" s="668">
        <v>131</v>
      </c>
      <c r="M1546" s="669">
        <v>122</v>
      </c>
      <c r="N1546" s="668"/>
      <c r="O1546" s="668">
        <v>14</v>
      </c>
      <c r="P1546" s="668" t="str">
        <f>IFERROR(VLOOKUP(F1546, [2]MOE!B:C, 2, FALSE), "No")</f>
        <v>No</v>
      </c>
      <c r="Q1546" s="711"/>
      <c r="S1546" s="670" t="s">
        <v>2405</v>
      </c>
      <c r="T1546" s="668" t="s">
        <v>1055</v>
      </c>
    </row>
    <row r="1547" spans="1:20">
      <c r="A1547" s="679">
        <v>7302215</v>
      </c>
      <c r="B1547" s="677"/>
      <c r="C1547" s="672"/>
      <c r="D1547" s="672"/>
      <c r="E1547" s="676" t="s">
        <v>2255</v>
      </c>
      <c r="F1547" s="680" t="s">
        <v>2421</v>
      </c>
      <c r="G1547" s="710">
        <v>730</v>
      </c>
      <c r="H1547" s="682">
        <v>2215</v>
      </c>
      <c r="J1547" s="668" t="str">
        <f t="shared" si="262"/>
        <v>(c) All Other Equipment</v>
      </c>
      <c r="L1547" s="668">
        <v>131</v>
      </c>
      <c r="M1547" s="669">
        <v>122</v>
      </c>
      <c r="N1547" s="668"/>
      <c r="O1547" s="668">
        <v>14</v>
      </c>
      <c r="P1547" s="668" t="str">
        <f>IFERROR(VLOOKUP(F1547, [2]MOE!B:C, 2, FALSE), "No")</f>
        <v>No</v>
      </c>
      <c r="Q1547" s="711"/>
      <c r="S1547" s="670" t="s">
        <v>2405</v>
      </c>
      <c r="T1547" s="668" t="s">
        <v>1057</v>
      </c>
    </row>
    <row r="1548" spans="1:20">
      <c r="A1548" s="679">
        <v>7002215</v>
      </c>
      <c r="B1548" s="677"/>
      <c r="C1548" s="672"/>
      <c r="D1548" s="672"/>
      <c r="E1548" s="676" t="s">
        <v>2257</v>
      </c>
      <c r="F1548" s="680" t="s">
        <v>2422</v>
      </c>
      <c r="G1548" s="710">
        <v>700</v>
      </c>
      <c r="H1548" s="682">
        <v>2215</v>
      </c>
      <c r="J1548" s="668" t="str">
        <f t="shared" si="262"/>
        <v>(d) Other Property</v>
      </c>
      <c r="L1548" s="668">
        <v>132</v>
      </c>
      <c r="M1548" s="669">
        <v>123</v>
      </c>
      <c r="N1548" s="668"/>
      <c r="O1548" s="668">
        <v>14</v>
      </c>
      <c r="P1548" s="668" t="str">
        <f>IFERROR(VLOOKUP(F1548, [2]MOE!B:C, 2, FALSE), "No")</f>
        <v>No</v>
      </c>
      <c r="Q1548" s="711"/>
      <c r="S1548" s="670" t="s">
        <v>2405</v>
      </c>
      <c r="T1548" s="668" t="s">
        <v>1059</v>
      </c>
    </row>
    <row r="1549" spans="1:20">
      <c r="A1549" s="671"/>
      <c r="B1549" s="677"/>
      <c r="C1549" s="672"/>
      <c r="D1549" s="672"/>
      <c r="E1549" s="676" t="s">
        <v>2259</v>
      </c>
      <c r="F1549" s="675"/>
      <c r="G1549" s="672"/>
      <c r="H1549" s="676"/>
      <c r="Q1549" s="711"/>
      <c r="S1549" s="670"/>
    </row>
    <row r="1550" spans="1:20">
      <c r="A1550" s="679">
        <v>8952215</v>
      </c>
      <c r="B1550" s="677"/>
      <c r="C1550" s="672"/>
      <c r="D1550" s="672"/>
      <c r="E1550" s="676" t="s">
        <v>2260</v>
      </c>
      <c r="F1550" s="680" t="s">
        <v>2423</v>
      </c>
      <c r="G1550" s="710">
        <v>895</v>
      </c>
      <c r="H1550" s="682">
        <v>2215</v>
      </c>
      <c r="J1550" s="668" t="str">
        <f t="shared" ref="J1550:J1551" si="263">E1550</f>
        <v>(a) Misc. Non-Public Expenditures</v>
      </c>
      <c r="L1550" s="668">
        <v>139</v>
      </c>
      <c r="M1550" s="669">
        <v>129</v>
      </c>
      <c r="N1550" s="668"/>
      <c r="O1550" s="668">
        <v>14</v>
      </c>
      <c r="P1550" s="668" t="str">
        <f>IFERROR(VLOOKUP(F1550, [2]MOE!B:C, 2, FALSE), "No")</f>
        <v>No</v>
      </c>
      <c r="Q1550" s="711"/>
      <c r="S1550" s="670" t="s">
        <v>2405</v>
      </c>
      <c r="T1550" s="668" t="s">
        <v>2262</v>
      </c>
    </row>
    <row r="1551" spans="1:20">
      <c r="A1551" s="679">
        <v>8002215</v>
      </c>
      <c r="B1551" s="677"/>
      <c r="C1551" s="672"/>
      <c r="D1551" s="672"/>
      <c r="E1551" s="676" t="s">
        <v>2263</v>
      </c>
      <c r="F1551" s="680" t="s">
        <v>2424</v>
      </c>
      <c r="G1551" s="710">
        <v>800</v>
      </c>
      <c r="H1551" s="682">
        <v>2215</v>
      </c>
      <c r="J1551" s="668" t="str">
        <f t="shared" si="263"/>
        <v>(b) Other Miscellaneous Expenditures</v>
      </c>
      <c r="L1551" s="668">
        <v>139</v>
      </c>
      <c r="M1551" s="669">
        <v>129</v>
      </c>
      <c r="N1551" s="668"/>
      <c r="O1551" s="668">
        <v>14</v>
      </c>
      <c r="P1551" s="668" t="str">
        <f>IFERROR(VLOOKUP(F1551, [2]MOE!B:C, 2, FALSE), "No")</f>
        <v>No</v>
      </c>
      <c r="Q1551" s="711"/>
      <c r="S1551" s="670" t="s">
        <v>2405</v>
      </c>
      <c r="T1551" s="668" t="s">
        <v>1063</v>
      </c>
    </row>
    <row r="1552" spans="1:20">
      <c r="A1552" s="671"/>
      <c r="B1552" s="677"/>
      <c r="C1552" s="672"/>
      <c r="D1552" s="672"/>
      <c r="E1552" s="676" t="s">
        <v>2265</v>
      </c>
      <c r="F1552" s="675"/>
      <c r="G1552" s="672"/>
      <c r="H1552" s="676"/>
      <c r="Q1552" s="711"/>
      <c r="S1552" s="670"/>
    </row>
    <row r="1553" spans="1:20">
      <c r="A1553" s="679">
        <v>2102215</v>
      </c>
      <c r="B1553" s="677"/>
      <c r="C1553" s="672"/>
      <c r="D1553" s="672"/>
      <c r="E1553" s="676" t="s">
        <v>2266</v>
      </c>
      <c r="F1553" s="680" t="s">
        <v>2425</v>
      </c>
      <c r="G1553" s="710">
        <v>210</v>
      </c>
      <c r="H1553" s="682">
        <v>2215</v>
      </c>
      <c r="J1553" s="668" t="str">
        <f t="shared" ref="J1553:J1555" si="264">E1553</f>
        <v>(a) Group Insurance</v>
      </c>
      <c r="L1553" s="668">
        <v>89</v>
      </c>
      <c r="M1553" s="669">
        <v>84</v>
      </c>
      <c r="N1553" s="668"/>
      <c r="O1553" s="668">
        <v>14</v>
      </c>
      <c r="P1553" s="668" t="str">
        <f>IFERROR(VLOOKUP(F1553, [2]MOE!B:C, 2, FALSE), "No")</f>
        <v>No</v>
      </c>
      <c r="Q1553" s="711" t="s">
        <v>1004</v>
      </c>
      <c r="S1553" s="670" t="s">
        <v>2405</v>
      </c>
      <c r="T1553" s="668" t="s">
        <v>1066</v>
      </c>
    </row>
    <row r="1554" spans="1:20">
      <c r="A1554" s="679">
        <v>2202215</v>
      </c>
      <c r="B1554" s="677"/>
      <c r="C1554" s="672"/>
      <c r="D1554" s="672"/>
      <c r="E1554" s="676" t="s">
        <v>2268</v>
      </c>
      <c r="F1554" s="680" t="s">
        <v>2426</v>
      </c>
      <c r="G1554" s="710">
        <v>220</v>
      </c>
      <c r="H1554" s="682">
        <v>2215</v>
      </c>
      <c r="J1554" s="668" t="str">
        <f t="shared" si="264"/>
        <v>(b) FICA</v>
      </c>
      <c r="L1554" s="668">
        <v>90</v>
      </c>
      <c r="M1554" s="669">
        <v>85</v>
      </c>
      <c r="N1554" s="668"/>
      <c r="O1554" s="668">
        <v>14</v>
      </c>
      <c r="P1554" s="668" t="str">
        <f>IFERROR(VLOOKUP(F1554, [2]MOE!B:C, 2, FALSE), "No")</f>
        <v>No</v>
      </c>
      <c r="Q1554" s="711" t="s">
        <v>1004</v>
      </c>
      <c r="S1554" s="670" t="s">
        <v>2405</v>
      </c>
      <c r="T1554" s="668" t="s">
        <v>1068</v>
      </c>
    </row>
    <row r="1555" spans="1:20">
      <c r="A1555" s="679">
        <v>2252215</v>
      </c>
      <c r="B1555" s="677"/>
      <c r="C1555" s="672"/>
      <c r="D1555" s="672"/>
      <c r="E1555" s="676" t="s">
        <v>2270</v>
      </c>
      <c r="F1555" s="680" t="s">
        <v>2427</v>
      </c>
      <c r="G1555" s="710">
        <v>225</v>
      </c>
      <c r="H1555" s="682">
        <v>2215</v>
      </c>
      <c r="J1555" s="668" t="str">
        <f t="shared" si="264"/>
        <v>(c) Medicare</v>
      </c>
      <c r="L1555" s="668">
        <v>91</v>
      </c>
      <c r="M1555" s="669">
        <v>86</v>
      </c>
      <c r="N1555" s="668"/>
      <c r="O1555" s="668">
        <v>14</v>
      </c>
      <c r="P1555" s="668" t="str">
        <f>IFERROR(VLOOKUP(F1555, [2]MOE!B:C, 2, FALSE), "No")</f>
        <v>No</v>
      </c>
      <c r="Q1555" s="711" t="s">
        <v>1004</v>
      </c>
      <c r="S1555" s="670" t="s">
        <v>2405</v>
      </c>
      <c r="T1555" s="668" t="s">
        <v>23</v>
      </c>
    </row>
    <row r="1556" spans="1:20">
      <c r="A1556" s="671"/>
      <c r="B1556" s="677"/>
      <c r="C1556" s="672"/>
      <c r="D1556" s="672"/>
      <c r="E1556" s="676" t="s">
        <v>2272</v>
      </c>
      <c r="F1556" s="675"/>
      <c r="G1556" s="672"/>
      <c r="H1556" s="676"/>
      <c r="Q1556" s="711"/>
      <c r="S1556" s="670"/>
    </row>
    <row r="1557" spans="1:20">
      <c r="A1557" s="679">
        <v>2312215</v>
      </c>
      <c r="B1557" s="677"/>
      <c r="C1557" s="672"/>
      <c r="D1557" s="672"/>
      <c r="E1557" s="676" t="s">
        <v>2273</v>
      </c>
      <c r="F1557" s="680" t="s">
        <v>2428</v>
      </c>
      <c r="G1557" s="710">
        <v>231</v>
      </c>
      <c r="H1557" s="682">
        <v>2215</v>
      </c>
      <c r="J1557" s="668" t="str">
        <f t="shared" ref="J1557:J1565" si="265">E1557</f>
        <v>1) Louisiana Teachers Retirement</v>
      </c>
      <c r="L1557" s="668">
        <v>92</v>
      </c>
      <c r="M1557" s="669">
        <v>87</v>
      </c>
      <c r="N1557" s="668"/>
      <c r="O1557" s="668">
        <v>14</v>
      </c>
      <c r="P1557" s="668" t="str">
        <f>IFERROR(VLOOKUP(F1557, [2]MOE!B:C, 2, FALSE), "No")</f>
        <v>No</v>
      </c>
      <c r="Q1557" s="711" t="s">
        <v>1004</v>
      </c>
      <c r="S1557" s="670" t="s">
        <v>2405</v>
      </c>
      <c r="T1557" s="668" t="s">
        <v>1074</v>
      </c>
    </row>
    <row r="1558" spans="1:20">
      <c r="A1558" s="679">
        <v>2332215</v>
      </c>
      <c r="B1558" s="677"/>
      <c r="C1558" s="672"/>
      <c r="D1558" s="672"/>
      <c r="E1558" s="676" t="s">
        <v>2275</v>
      </c>
      <c r="F1558" s="680" t="s">
        <v>2429</v>
      </c>
      <c r="G1558" s="710">
        <v>233</v>
      </c>
      <c r="H1558" s="682">
        <v>2215</v>
      </c>
      <c r="J1558" s="668" t="str">
        <f t="shared" si="265"/>
        <v>2) Louisiana School Emp. Retire.</v>
      </c>
      <c r="L1558" s="668">
        <v>92</v>
      </c>
      <c r="M1558" s="669">
        <v>87</v>
      </c>
      <c r="N1558" s="668"/>
      <c r="O1558" s="668">
        <v>14</v>
      </c>
      <c r="P1558" s="668" t="str">
        <f>IFERROR(VLOOKUP(F1558, [2]MOE!B:C, 2, FALSE), "No")</f>
        <v>No</v>
      </c>
      <c r="Q1558" s="711" t="s">
        <v>1004</v>
      </c>
      <c r="S1558" s="670" t="s">
        <v>2405</v>
      </c>
      <c r="T1558" s="668" t="s">
        <v>2277</v>
      </c>
    </row>
    <row r="1559" spans="1:20">
      <c r="A1559" s="679">
        <v>2392215</v>
      </c>
      <c r="B1559" s="677"/>
      <c r="C1559" s="672"/>
      <c r="D1559" s="672"/>
      <c r="E1559" s="676" t="s">
        <v>2278</v>
      </c>
      <c r="F1559" s="680" t="s">
        <v>2430</v>
      </c>
      <c r="G1559" s="710">
        <v>239</v>
      </c>
      <c r="H1559" s="682">
        <v>2215</v>
      </c>
      <c r="J1559" s="668" t="str">
        <f t="shared" si="265"/>
        <v>3) Other Retirement</v>
      </c>
      <c r="L1559" s="668">
        <v>92</v>
      </c>
      <c r="M1559" s="669">
        <v>87</v>
      </c>
      <c r="N1559" s="668"/>
      <c r="O1559" s="668">
        <v>14</v>
      </c>
      <c r="P1559" s="668" t="str">
        <f>IFERROR(VLOOKUP(F1559, [2]MOE!B:C, 2, FALSE), "No")</f>
        <v>No</v>
      </c>
      <c r="Q1559" s="711" t="s">
        <v>1004</v>
      </c>
      <c r="S1559" s="670" t="s">
        <v>2405</v>
      </c>
      <c r="T1559" s="668" t="s">
        <v>1080</v>
      </c>
    </row>
    <row r="1560" spans="1:20">
      <c r="A1560" s="679">
        <v>2502215</v>
      </c>
      <c r="B1560" s="677"/>
      <c r="C1560" s="672"/>
      <c r="D1560" s="672"/>
      <c r="E1560" s="676" t="s">
        <v>2280</v>
      </c>
      <c r="F1560" s="680" t="s">
        <v>2431</v>
      </c>
      <c r="G1560" s="710">
        <v>250</v>
      </c>
      <c r="H1560" s="682">
        <v>2215</v>
      </c>
      <c r="J1560" s="668" t="str">
        <f t="shared" si="265"/>
        <v>(e) Unemployment Compensation</v>
      </c>
      <c r="L1560" s="668">
        <v>93</v>
      </c>
      <c r="M1560" s="669">
        <v>88</v>
      </c>
      <c r="N1560" s="668"/>
      <c r="O1560" s="668">
        <v>14</v>
      </c>
      <c r="P1560" s="668" t="str">
        <f>IFERROR(VLOOKUP(F1560, [2]MOE!B:C, 2, FALSE), "No")</f>
        <v>No</v>
      </c>
      <c r="Q1560" s="711" t="s">
        <v>1004</v>
      </c>
      <c r="S1560" s="670" t="s">
        <v>2405</v>
      </c>
      <c r="T1560" s="668" t="s">
        <v>1081</v>
      </c>
    </row>
    <row r="1561" spans="1:20">
      <c r="A1561" s="679">
        <v>2602215</v>
      </c>
      <c r="B1561" s="677"/>
      <c r="C1561" s="672"/>
      <c r="D1561" s="672"/>
      <c r="E1561" s="676" t="s">
        <v>2282</v>
      </c>
      <c r="F1561" s="680" t="s">
        <v>2432</v>
      </c>
      <c r="G1561" s="710">
        <v>260</v>
      </c>
      <c r="H1561" s="682">
        <v>2215</v>
      </c>
      <c r="J1561" s="668" t="str">
        <f t="shared" si="265"/>
        <v>(f) Workmen's Compensation</v>
      </c>
      <c r="L1561" s="668">
        <v>95</v>
      </c>
      <c r="M1561" s="669">
        <v>90</v>
      </c>
      <c r="N1561" s="668"/>
      <c r="O1561" s="668">
        <v>14</v>
      </c>
      <c r="P1561" s="668" t="str">
        <f>IFERROR(VLOOKUP(F1561, [2]MOE!B:C, 2, FALSE), "No")</f>
        <v>No</v>
      </c>
      <c r="Q1561" s="711" t="s">
        <v>1004</v>
      </c>
      <c r="S1561" s="670" t="s">
        <v>2405</v>
      </c>
      <c r="T1561" s="668" t="s">
        <v>1083</v>
      </c>
    </row>
    <row r="1562" spans="1:20">
      <c r="A1562" s="679">
        <v>2702215</v>
      </c>
      <c r="B1562" s="677"/>
      <c r="C1562" s="672"/>
      <c r="D1562" s="672"/>
      <c r="E1562" s="676" t="s">
        <v>2284</v>
      </c>
      <c r="F1562" s="680" t="s">
        <v>2433</v>
      </c>
      <c r="G1562" s="710">
        <v>270</v>
      </c>
      <c r="H1562" s="682">
        <v>2215</v>
      </c>
      <c r="J1562" s="668" t="str">
        <f t="shared" si="265"/>
        <v>(g) Health Benefits (retirees)</v>
      </c>
      <c r="L1562" s="668">
        <v>94</v>
      </c>
      <c r="M1562" s="669">
        <v>89</v>
      </c>
      <c r="N1562" s="668"/>
      <c r="O1562" s="668">
        <v>14</v>
      </c>
      <c r="P1562" s="668" t="str">
        <f>IFERROR(VLOOKUP(F1562, [2]MOE!B:C, 2, FALSE), "No")</f>
        <v>No</v>
      </c>
      <c r="Q1562" s="711" t="s">
        <v>1004</v>
      </c>
      <c r="S1562" s="670" t="s">
        <v>2405</v>
      </c>
      <c r="T1562" s="668" t="s">
        <v>1085</v>
      </c>
    </row>
    <row r="1563" spans="1:20">
      <c r="A1563" s="679">
        <v>2812215</v>
      </c>
      <c r="B1563" s="677"/>
      <c r="C1563" s="672"/>
      <c r="D1563" s="672"/>
      <c r="E1563" s="676" t="s">
        <v>2286</v>
      </c>
      <c r="F1563" s="680" t="s">
        <v>2434</v>
      </c>
      <c r="G1563" s="710">
        <v>281</v>
      </c>
      <c r="H1563" s="682">
        <v>2215</v>
      </c>
      <c r="J1563" s="668" t="str">
        <f t="shared" si="265"/>
        <v>(h) Sick Leave Severance Pay</v>
      </c>
      <c r="L1563" s="668">
        <v>95</v>
      </c>
      <c r="M1563" s="669">
        <v>90</v>
      </c>
      <c r="N1563" s="668"/>
      <c r="O1563" s="668">
        <v>14</v>
      </c>
      <c r="P1563" s="668" t="str">
        <f>IFERROR(VLOOKUP(F1563, [2]MOE!B:C, 2, FALSE), "No")</f>
        <v>No</v>
      </c>
      <c r="Q1563" s="711" t="s">
        <v>1004</v>
      </c>
      <c r="S1563" s="670" t="s">
        <v>2405</v>
      </c>
      <c r="T1563" s="668" t="s">
        <v>1087</v>
      </c>
    </row>
    <row r="1564" spans="1:20">
      <c r="A1564" s="679">
        <v>2822215</v>
      </c>
      <c r="B1564" s="677"/>
      <c r="C1564" s="672"/>
      <c r="D1564" s="672"/>
      <c r="E1564" s="676" t="s">
        <v>2288</v>
      </c>
      <c r="F1564" s="680" t="s">
        <v>2435</v>
      </c>
      <c r="G1564" s="710">
        <v>282</v>
      </c>
      <c r="H1564" s="682">
        <v>2215</v>
      </c>
      <c r="J1564" s="668" t="str">
        <f t="shared" si="265"/>
        <v>(i) Annual Leave Severance Pay</v>
      </c>
      <c r="L1564" s="668">
        <v>95</v>
      </c>
      <c r="M1564" s="669">
        <v>90</v>
      </c>
      <c r="N1564" s="668"/>
      <c r="O1564" s="668">
        <v>14</v>
      </c>
      <c r="P1564" s="668" t="str">
        <f>IFERROR(VLOOKUP(F1564, [2]MOE!B:C, 2, FALSE), "No")</f>
        <v>No</v>
      </c>
      <c r="Q1564" s="711" t="s">
        <v>1004</v>
      </c>
      <c r="S1564" s="670" t="s">
        <v>2405</v>
      </c>
      <c r="T1564" s="668" t="s">
        <v>1089</v>
      </c>
    </row>
    <row r="1565" spans="1:20">
      <c r="A1565" s="679">
        <v>2902215</v>
      </c>
      <c r="B1565" s="677"/>
      <c r="C1565" s="672"/>
      <c r="D1565" s="672"/>
      <c r="E1565" s="676" t="s">
        <v>2290</v>
      </c>
      <c r="F1565" s="680" t="s">
        <v>2436</v>
      </c>
      <c r="G1565" s="710">
        <v>290</v>
      </c>
      <c r="H1565" s="682">
        <v>2215</v>
      </c>
      <c r="J1565" s="668" t="str">
        <f t="shared" si="265"/>
        <v>(j) Other Employee Benefits</v>
      </c>
      <c r="L1565" s="668">
        <v>95</v>
      </c>
      <c r="M1565" s="669">
        <v>90</v>
      </c>
      <c r="N1565" s="668"/>
      <c r="O1565" s="668">
        <v>14</v>
      </c>
      <c r="P1565" s="668" t="str">
        <f>IFERROR(VLOOKUP(F1565, [2]MOE!B:C, 2, FALSE), "No")</f>
        <v>No</v>
      </c>
      <c r="Q1565" s="711" t="s">
        <v>1004</v>
      </c>
      <c r="S1565" s="670" t="s">
        <v>2405</v>
      </c>
      <c r="T1565" s="668" t="s">
        <v>1092</v>
      </c>
    </row>
    <row r="1566" spans="1:20">
      <c r="A1566" s="671"/>
      <c r="B1566" s="677"/>
      <c r="C1566" s="672"/>
      <c r="D1566" s="672" t="s">
        <v>853</v>
      </c>
      <c r="E1566" s="676" t="s">
        <v>2437</v>
      </c>
      <c r="F1566" s="675"/>
      <c r="G1566" s="672"/>
      <c r="H1566" s="676"/>
      <c r="Q1566" s="711"/>
      <c r="S1566" s="670"/>
    </row>
    <row r="1567" spans="1:20">
      <c r="A1567" s="671"/>
      <c r="B1567" s="677"/>
      <c r="C1567" s="672"/>
      <c r="D1567" s="672"/>
      <c r="E1567" s="676" t="s">
        <v>2438</v>
      </c>
      <c r="F1567" s="675"/>
      <c r="G1567" s="672"/>
      <c r="H1567" s="676"/>
      <c r="Q1567" s="711"/>
      <c r="S1567" s="670"/>
    </row>
    <row r="1568" spans="1:20">
      <c r="A1568" s="679">
        <v>1112216</v>
      </c>
      <c r="B1568" s="677"/>
      <c r="C1568" s="672"/>
      <c r="D1568" s="672"/>
      <c r="E1568" s="676" t="s">
        <v>2215</v>
      </c>
      <c r="F1568" s="680" t="s">
        <v>2439</v>
      </c>
      <c r="G1568" s="710">
        <v>111</v>
      </c>
      <c r="H1568" s="682">
        <v>2216</v>
      </c>
      <c r="J1568" s="668" t="str">
        <f t="shared" ref="J1568:J1573" si="266">E1568</f>
        <v>(a) Director/Supervisors</v>
      </c>
      <c r="L1568" s="668">
        <v>81</v>
      </c>
      <c r="M1568" s="669">
        <v>76</v>
      </c>
      <c r="N1568" s="668"/>
      <c r="O1568" s="668">
        <v>14</v>
      </c>
      <c r="P1568" s="668" t="str">
        <f>IFERROR(VLOOKUP(F1568, [2]MOE!B:C, 2, FALSE), "No")</f>
        <v>No</v>
      </c>
      <c r="Q1568" s="711" t="s">
        <v>1004</v>
      </c>
      <c r="S1568" s="670" t="s">
        <v>2440</v>
      </c>
      <c r="T1568" s="668" t="s">
        <v>2218</v>
      </c>
    </row>
    <row r="1569" spans="1:20">
      <c r="A1569" s="679">
        <v>1132216</v>
      </c>
      <c r="B1569" s="677"/>
      <c r="C1569" s="672"/>
      <c r="D1569" s="672"/>
      <c r="E1569" s="676" t="s">
        <v>2219</v>
      </c>
      <c r="F1569" s="680" t="s">
        <v>2441</v>
      </c>
      <c r="G1569" s="710">
        <v>113</v>
      </c>
      <c r="H1569" s="682">
        <v>2216</v>
      </c>
      <c r="J1569" s="668" t="str">
        <f t="shared" si="266"/>
        <v>(b) Specialists</v>
      </c>
      <c r="L1569" s="668">
        <v>83</v>
      </c>
      <c r="M1569" s="669">
        <v>78</v>
      </c>
      <c r="N1569" s="668"/>
      <c r="O1569" s="668">
        <v>14</v>
      </c>
      <c r="P1569" s="668" t="str">
        <f>IFERROR(VLOOKUP(F1569, [2]MOE!B:C, 2, FALSE), "No")</f>
        <v>No</v>
      </c>
      <c r="Q1569" s="711" t="s">
        <v>1004</v>
      </c>
      <c r="S1569" s="670" t="s">
        <v>2440</v>
      </c>
      <c r="T1569" s="668" t="s">
        <v>2221</v>
      </c>
    </row>
    <row r="1570" spans="1:20">
      <c r="A1570" s="679">
        <v>1142216</v>
      </c>
      <c r="B1570" s="677"/>
      <c r="C1570" s="672"/>
      <c r="D1570" s="672"/>
      <c r="E1570" s="676" t="s">
        <v>2222</v>
      </c>
      <c r="F1570" s="680" t="s">
        <v>2442</v>
      </c>
      <c r="G1570" s="710">
        <v>114</v>
      </c>
      <c r="H1570" s="682">
        <v>2216</v>
      </c>
      <c r="J1570" s="668" t="str">
        <f t="shared" si="266"/>
        <v>(c) Clerical/Secretarial</v>
      </c>
      <c r="L1570" s="668">
        <v>84</v>
      </c>
      <c r="M1570" s="669">
        <v>79</v>
      </c>
      <c r="N1570" s="668"/>
      <c r="O1570" s="668">
        <v>14</v>
      </c>
      <c r="P1570" s="668" t="str">
        <f>IFERROR(VLOOKUP(F1570, [2]MOE!B:C, 2, FALSE), "No")</f>
        <v>No</v>
      </c>
      <c r="Q1570" s="711" t="s">
        <v>1004</v>
      </c>
      <c r="S1570" s="670" t="s">
        <v>2440</v>
      </c>
      <c r="T1570" s="668" t="s">
        <v>1854</v>
      </c>
    </row>
    <row r="1571" spans="1:20">
      <c r="A1571" s="679">
        <v>1002216</v>
      </c>
      <c r="B1571" s="677"/>
      <c r="C1571" s="672"/>
      <c r="D1571" s="672"/>
      <c r="E1571" s="676" t="s">
        <v>2224</v>
      </c>
      <c r="F1571" s="680" t="s">
        <v>2443</v>
      </c>
      <c r="G1571" s="710">
        <v>100</v>
      </c>
      <c r="H1571" s="682">
        <v>2216</v>
      </c>
      <c r="J1571" s="668" t="str">
        <f t="shared" si="266"/>
        <v>(d) Other Salaries</v>
      </c>
      <c r="L1571" s="668">
        <v>86</v>
      </c>
      <c r="M1571" s="669">
        <v>81</v>
      </c>
      <c r="N1571" s="668"/>
      <c r="O1571" s="668">
        <v>14</v>
      </c>
      <c r="P1571" s="668" t="str">
        <f>IFERROR(VLOOKUP(F1571, [2]MOE!B:C, 2, FALSE), "No")</f>
        <v>No</v>
      </c>
      <c r="Q1571" s="711" t="s">
        <v>1004</v>
      </c>
      <c r="S1571" s="670" t="s">
        <v>2440</v>
      </c>
      <c r="T1571" s="668" t="s">
        <v>1947</v>
      </c>
    </row>
    <row r="1572" spans="1:20">
      <c r="A1572" s="679">
        <v>1402216</v>
      </c>
      <c r="B1572" s="677"/>
      <c r="C1572" s="672"/>
      <c r="D1572" s="672"/>
      <c r="E1572" s="676" t="s">
        <v>2226</v>
      </c>
      <c r="F1572" s="680" t="s">
        <v>2444</v>
      </c>
      <c r="G1572" s="710">
        <v>140</v>
      </c>
      <c r="H1572" s="682">
        <v>2216</v>
      </c>
      <c r="J1572" s="668" t="str">
        <f t="shared" si="266"/>
        <v>(e) Sabbatical Leave</v>
      </c>
      <c r="L1572" s="668">
        <v>86</v>
      </c>
      <c r="M1572" s="669">
        <v>81</v>
      </c>
      <c r="N1572" s="668"/>
      <c r="O1572" s="668">
        <v>14</v>
      </c>
      <c r="P1572" s="668" t="str">
        <f>IFERROR(VLOOKUP(F1572, [2]MOE!B:C, 2, FALSE), "No")</f>
        <v>No</v>
      </c>
      <c r="Q1572" s="711" t="s">
        <v>1004</v>
      </c>
      <c r="S1572" s="670" t="s">
        <v>2440</v>
      </c>
      <c r="T1572" s="668" t="s">
        <v>1019</v>
      </c>
    </row>
    <row r="1573" spans="1:20">
      <c r="A1573" s="679">
        <v>3002216</v>
      </c>
      <c r="B1573" s="677"/>
      <c r="C1573" s="672"/>
      <c r="D1573" s="672"/>
      <c r="E1573" s="676" t="s">
        <v>2228</v>
      </c>
      <c r="F1573" s="680" t="s">
        <v>2445</v>
      </c>
      <c r="G1573" s="710">
        <v>300</v>
      </c>
      <c r="H1573" s="682">
        <v>2216</v>
      </c>
      <c r="J1573" s="668" t="str">
        <f t="shared" si="266"/>
        <v>(2) Purchased Professional and Tech. Svcs</v>
      </c>
      <c r="L1573" s="668">
        <v>101</v>
      </c>
      <c r="M1573" s="669">
        <v>96</v>
      </c>
      <c r="N1573" s="668"/>
      <c r="O1573" s="668">
        <v>14</v>
      </c>
      <c r="P1573" s="668" t="str">
        <f>IFERROR(VLOOKUP(F1573, [2]MOE!B:C, 2, FALSE), "No")</f>
        <v>No</v>
      </c>
      <c r="Q1573" s="711"/>
      <c r="S1573" s="670" t="s">
        <v>2440</v>
      </c>
      <c r="T1573" s="668" t="s">
        <v>2230</v>
      </c>
    </row>
    <row r="1574" spans="1:20">
      <c r="A1574" s="671"/>
      <c r="B1574" s="677"/>
      <c r="C1574" s="672"/>
      <c r="D1574" s="672"/>
      <c r="E1574" s="676" t="s">
        <v>2231</v>
      </c>
      <c r="F1574" s="675"/>
      <c r="G1574" s="672"/>
      <c r="H1574" s="676"/>
      <c r="Q1574" s="711"/>
      <c r="S1574" s="670"/>
    </row>
    <row r="1575" spans="1:20">
      <c r="A1575" s="679">
        <v>4302216</v>
      </c>
      <c r="B1575" s="677"/>
      <c r="C1575" s="672"/>
      <c r="D1575" s="672"/>
      <c r="E1575" s="676" t="s">
        <v>2232</v>
      </c>
      <c r="F1575" s="680" t="s">
        <v>2446</v>
      </c>
      <c r="G1575" s="710">
        <v>430</v>
      </c>
      <c r="H1575" s="682">
        <v>2216</v>
      </c>
      <c r="J1575" s="668" t="str">
        <f t="shared" ref="J1575:J1577" si="267">E1575</f>
        <v>(a) Repairs and Maintenance Services</v>
      </c>
      <c r="L1575" s="668">
        <v>107</v>
      </c>
      <c r="M1575" s="669">
        <v>102</v>
      </c>
      <c r="N1575" s="668"/>
      <c r="O1575" s="668">
        <v>14</v>
      </c>
      <c r="P1575" s="668" t="str">
        <f>IFERROR(VLOOKUP(F1575, [2]MOE!B:C, 2, FALSE), "No")</f>
        <v>No</v>
      </c>
      <c r="Q1575" s="711"/>
      <c r="S1575" s="670" t="s">
        <v>2440</v>
      </c>
      <c r="T1575" s="668" t="s">
        <v>1023</v>
      </c>
    </row>
    <row r="1576" spans="1:20">
      <c r="A1576" s="679">
        <v>4422216</v>
      </c>
      <c r="B1576" s="677"/>
      <c r="C1576" s="672"/>
      <c r="D1576" s="672"/>
      <c r="E1576" s="676" t="s">
        <v>2234</v>
      </c>
      <c r="F1576" s="680" t="s">
        <v>2447</v>
      </c>
      <c r="G1576" s="710">
        <v>442</v>
      </c>
      <c r="H1576" s="682">
        <v>2216</v>
      </c>
      <c r="J1576" s="668" t="str">
        <f t="shared" si="267"/>
        <v>(b) Rental of Equipment</v>
      </c>
      <c r="L1576" s="668">
        <v>106</v>
      </c>
      <c r="M1576" s="669">
        <v>101</v>
      </c>
      <c r="N1576" s="668"/>
      <c r="O1576" s="668">
        <v>14</v>
      </c>
      <c r="P1576" s="668" t="str">
        <f>IFERROR(VLOOKUP(F1576, [2]MOE!B:C, 2, FALSE), "No")</f>
        <v>No</v>
      </c>
      <c r="Q1576" s="711"/>
      <c r="S1576" s="670" t="s">
        <v>2440</v>
      </c>
      <c r="T1576" s="668" t="s">
        <v>1025</v>
      </c>
    </row>
    <row r="1577" spans="1:20">
      <c r="A1577" s="679">
        <v>4002216</v>
      </c>
      <c r="B1577" s="677"/>
      <c r="C1577" s="672"/>
      <c r="D1577" s="672"/>
      <c r="E1577" s="676" t="s">
        <v>2236</v>
      </c>
      <c r="F1577" s="680" t="s">
        <v>2448</v>
      </c>
      <c r="G1577" s="710">
        <v>400</v>
      </c>
      <c r="H1577" s="682">
        <v>2216</v>
      </c>
      <c r="J1577" s="668" t="str">
        <f t="shared" si="267"/>
        <v>(c) Other Purchased Property Svcs</v>
      </c>
      <c r="L1577" s="668">
        <v>108</v>
      </c>
      <c r="M1577" s="669">
        <v>103</v>
      </c>
      <c r="N1577" s="668"/>
      <c r="O1577" s="668">
        <v>14</v>
      </c>
      <c r="P1577" s="668" t="str">
        <f>IFERROR(VLOOKUP(F1577, [2]MOE!B:C, 2, FALSE), "No")</f>
        <v>No</v>
      </c>
      <c r="Q1577" s="711"/>
      <c r="S1577" s="670" t="s">
        <v>2440</v>
      </c>
      <c r="T1577" s="668" t="s">
        <v>2238</v>
      </c>
    </row>
    <row r="1578" spans="1:20">
      <c r="A1578" s="671"/>
      <c r="B1578" s="677"/>
      <c r="C1578" s="672"/>
      <c r="D1578" s="672"/>
      <c r="E1578" s="676" t="s">
        <v>1395</v>
      </c>
      <c r="F1578" s="675"/>
      <c r="G1578" s="672"/>
      <c r="H1578" s="676"/>
      <c r="Q1578" s="711"/>
      <c r="S1578" s="670"/>
    </row>
    <row r="1579" spans="1:20">
      <c r="A1579" s="679">
        <v>5822216</v>
      </c>
      <c r="B1579" s="677"/>
      <c r="C1579" s="672"/>
      <c r="D1579" s="672"/>
      <c r="E1579" s="676" t="s">
        <v>2239</v>
      </c>
      <c r="F1579" s="680" t="s">
        <v>2449</v>
      </c>
      <c r="G1579" s="710">
        <v>582</v>
      </c>
      <c r="H1579" s="682">
        <v>2216</v>
      </c>
      <c r="J1579" s="668" t="str">
        <f t="shared" ref="J1579:J1580" si="268">E1579</f>
        <v>(a) Travel Expense Reimbursement</v>
      </c>
      <c r="L1579" s="668">
        <v>118</v>
      </c>
      <c r="M1579" s="669">
        <v>109</v>
      </c>
      <c r="N1579" s="668"/>
      <c r="O1579" s="668">
        <v>14</v>
      </c>
      <c r="P1579" s="668" t="str">
        <f>IFERROR(VLOOKUP(F1579, [2]MOE!B:C, 2, FALSE), "No")</f>
        <v>No</v>
      </c>
      <c r="Q1579" s="711"/>
      <c r="S1579" s="670" t="s">
        <v>2440</v>
      </c>
      <c r="T1579" s="668" t="s">
        <v>1039</v>
      </c>
    </row>
    <row r="1580" spans="1:20">
      <c r="A1580" s="679">
        <v>5002216</v>
      </c>
      <c r="B1580" s="677"/>
      <c r="C1580" s="672"/>
      <c r="D1580" s="672"/>
      <c r="E1580" s="676" t="s">
        <v>2241</v>
      </c>
      <c r="F1580" s="680" t="s">
        <v>2450</v>
      </c>
      <c r="G1580" s="710">
        <v>500</v>
      </c>
      <c r="H1580" s="682">
        <v>2216</v>
      </c>
      <c r="J1580" s="668" t="str">
        <f t="shared" si="268"/>
        <v>(b) Other Purchased Services</v>
      </c>
      <c r="L1580" s="668">
        <v>119</v>
      </c>
      <c r="M1580" s="669">
        <v>110</v>
      </c>
      <c r="N1580" s="668"/>
      <c r="O1580" s="668">
        <v>14</v>
      </c>
      <c r="P1580" s="668" t="str">
        <f>IFERROR(VLOOKUP(F1580, [2]MOE!B:C, 2, FALSE), "No")</f>
        <v>No</v>
      </c>
      <c r="Q1580" s="711"/>
      <c r="S1580" s="670" t="s">
        <v>2440</v>
      </c>
      <c r="T1580" s="668" t="s">
        <v>252</v>
      </c>
    </row>
    <row r="1581" spans="1:20">
      <c r="A1581" s="671"/>
      <c r="B1581" s="677"/>
      <c r="C1581" s="672"/>
      <c r="D1581" s="672"/>
      <c r="E1581" s="676" t="s">
        <v>2243</v>
      </c>
      <c r="F1581" s="675"/>
      <c r="G1581" s="672"/>
      <c r="H1581" s="676"/>
      <c r="Q1581" s="711"/>
      <c r="S1581" s="670"/>
    </row>
    <row r="1582" spans="1:20">
      <c r="A1582" s="679">
        <v>6152216</v>
      </c>
      <c r="B1582" s="677"/>
      <c r="C1582" s="672"/>
      <c r="D1582" s="672"/>
      <c r="E1582" s="676" t="s">
        <v>2244</v>
      </c>
      <c r="F1582" s="680" t="s">
        <v>2451</v>
      </c>
      <c r="G1582" s="710">
        <v>615</v>
      </c>
      <c r="H1582" s="682">
        <v>2216</v>
      </c>
      <c r="J1582" s="668" t="str">
        <f t="shared" ref="J1582:J1584" si="269">E1582</f>
        <v>(a) Technology-Related Supplies</v>
      </c>
      <c r="L1582" s="668">
        <v>126</v>
      </c>
      <c r="M1582" s="669">
        <v>117</v>
      </c>
      <c r="N1582" s="668"/>
      <c r="O1582" s="668">
        <v>14</v>
      </c>
      <c r="P1582" s="668" t="str">
        <f>IFERROR(VLOOKUP(F1582, [2]MOE!B:C, 2, FALSE), "No")</f>
        <v>No</v>
      </c>
      <c r="Q1582" s="711" t="s">
        <v>1045</v>
      </c>
      <c r="S1582" s="670" t="s">
        <v>2440</v>
      </c>
      <c r="T1582" s="668" t="s">
        <v>1043</v>
      </c>
    </row>
    <row r="1583" spans="1:20">
      <c r="A1583" s="679">
        <v>6102216</v>
      </c>
      <c r="B1583" s="677"/>
      <c r="C1583" s="672"/>
      <c r="D1583" s="672"/>
      <c r="E1583" s="676" t="s">
        <v>2246</v>
      </c>
      <c r="F1583" s="680" t="s">
        <v>2452</v>
      </c>
      <c r="G1583" s="710">
        <v>610</v>
      </c>
      <c r="H1583" s="682">
        <v>2216</v>
      </c>
      <c r="J1583" s="668" t="str">
        <f t="shared" si="269"/>
        <v>(b) Materials and Supplies</v>
      </c>
      <c r="L1583" s="668">
        <v>122</v>
      </c>
      <c r="M1583" s="669">
        <v>113</v>
      </c>
      <c r="N1583" s="668"/>
      <c r="O1583" s="668">
        <v>14</v>
      </c>
      <c r="P1583" s="668" t="str">
        <f>IFERROR(VLOOKUP(F1583, [2]MOE!B:C, 2, FALSE), "No")</f>
        <v>No</v>
      </c>
      <c r="Q1583" s="711" t="s">
        <v>1045</v>
      </c>
      <c r="S1583" s="670" t="s">
        <v>2440</v>
      </c>
      <c r="T1583" s="668" t="s">
        <v>39</v>
      </c>
    </row>
    <row r="1584" spans="1:20">
      <c r="A1584" s="679">
        <v>6002216</v>
      </c>
      <c r="B1584" s="719"/>
      <c r="C1584" s="681"/>
      <c r="D1584" s="681"/>
      <c r="E1584" s="686" t="s">
        <v>2248</v>
      </c>
      <c r="F1584" s="680" t="s">
        <v>2453</v>
      </c>
      <c r="G1584" s="710">
        <v>600</v>
      </c>
      <c r="H1584" s="682">
        <v>2216</v>
      </c>
      <c r="J1584" s="668" t="str">
        <f t="shared" si="269"/>
        <v>(c) Other Supplies</v>
      </c>
      <c r="L1584" s="668">
        <v>126</v>
      </c>
      <c r="M1584" s="669">
        <v>117</v>
      </c>
      <c r="N1584" s="668"/>
      <c r="O1584" s="668">
        <v>14</v>
      </c>
      <c r="P1584" s="668" t="str">
        <f>IFERROR(VLOOKUP(F1584, [2]MOE!B:C, 2, FALSE), "No")</f>
        <v>No</v>
      </c>
      <c r="Q1584" s="711"/>
      <c r="S1584" s="670" t="s">
        <v>2440</v>
      </c>
      <c r="T1584" s="668" t="s">
        <v>1050</v>
      </c>
    </row>
    <row r="1585" spans="1:20">
      <c r="A1585" s="671"/>
      <c r="B1585" s="677"/>
      <c r="C1585" s="672"/>
      <c r="D1585" s="672"/>
      <c r="E1585" s="676" t="s">
        <v>2250</v>
      </c>
      <c r="F1585" s="675"/>
      <c r="G1585" s="672"/>
      <c r="H1585" s="676"/>
      <c r="Q1585" s="711"/>
      <c r="S1585" s="670"/>
    </row>
    <row r="1586" spans="1:20">
      <c r="A1586" s="679">
        <v>7342216</v>
      </c>
      <c r="B1586" s="677"/>
      <c r="C1586" s="672"/>
      <c r="D1586" s="672"/>
      <c r="E1586" s="676" t="s">
        <v>2251</v>
      </c>
      <c r="F1586" s="680" t="s">
        <v>2454</v>
      </c>
      <c r="G1586" s="710">
        <v>734</v>
      </c>
      <c r="H1586" s="682">
        <v>2216</v>
      </c>
      <c r="J1586" s="668" t="str">
        <f t="shared" ref="J1586:J1589" si="270">E1586</f>
        <v>(a) Technology-Related Hardware</v>
      </c>
      <c r="L1586" s="668">
        <v>131</v>
      </c>
      <c r="M1586" s="669">
        <v>122</v>
      </c>
      <c r="N1586" s="668"/>
      <c r="O1586" s="668">
        <v>14</v>
      </c>
      <c r="P1586" s="668" t="str">
        <f>IFERROR(VLOOKUP(F1586, [2]MOE!B:C, 2, FALSE), "No")</f>
        <v>No</v>
      </c>
      <c r="Q1586" s="711"/>
      <c r="S1586" s="670" t="s">
        <v>2440</v>
      </c>
      <c r="T1586" s="668" t="s">
        <v>1053</v>
      </c>
    </row>
    <row r="1587" spans="1:20">
      <c r="A1587" s="679">
        <v>7352216</v>
      </c>
      <c r="B1587" s="677"/>
      <c r="C1587" s="672"/>
      <c r="D1587" s="672"/>
      <c r="E1587" s="676" t="s">
        <v>2253</v>
      </c>
      <c r="F1587" s="680" t="s">
        <v>2455</v>
      </c>
      <c r="G1587" s="710">
        <v>735</v>
      </c>
      <c r="H1587" s="682">
        <v>2216</v>
      </c>
      <c r="J1587" s="668" t="str">
        <f t="shared" si="270"/>
        <v>(b) Technology Software</v>
      </c>
      <c r="L1587" s="668">
        <v>131</v>
      </c>
      <c r="M1587" s="669">
        <v>122</v>
      </c>
      <c r="N1587" s="668"/>
      <c r="O1587" s="668">
        <v>14</v>
      </c>
      <c r="P1587" s="668" t="str">
        <f>IFERROR(VLOOKUP(F1587, [2]MOE!B:C, 2, FALSE), "No")</f>
        <v>No</v>
      </c>
      <c r="Q1587" s="711"/>
      <c r="S1587" s="670" t="s">
        <v>2440</v>
      </c>
      <c r="T1587" s="668" t="s">
        <v>1055</v>
      </c>
    </row>
    <row r="1588" spans="1:20">
      <c r="A1588" s="679">
        <v>7302216</v>
      </c>
      <c r="B1588" s="677"/>
      <c r="C1588" s="672"/>
      <c r="D1588" s="672"/>
      <c r="E1588" s="676" t="s">
        <v>2255</v>
      </c>
      <c r="F1588" s="680" t="s">
        <v>2456</v>
      </c>
      <c r="G1588" s="710">
        <v>730</v>
      </c>
      <c r="H1588" s="682">
        <v>2216</v>
      </c>
      <c r="J1588" s="668" t="str">
        <f t="shared" si="270"/>
        <v>(c) All Other Equipment</v>
      </c>
      <c r="L1588" s="668">
        <v>131</v>
      </c>
      <c r="M1588" s="669">
        <v>122</v>
      </c>
      <c r="N1588" s="668"/>
      <c r="O1588" s="668">
        <v>14</v>
      </c>
      <c r="P1588" s="668" t="str">
        <f>IFERROR(VLOOKUP(F1588, [2]MOE!B:C, 2, FALSE), "No")</f>
        <v>No</v>
      </c>
      <c r="Q1588" s="711"/>
      <c r="S1588" s="670" t="s">
        <v>2440</v>
      </c>
      <c r="T1588" s="668" t="s">
        <v>1057</v>
      </c>
    </row>
    <row r="1589" spans="1:20">
      <c r="A1589" s="679">
        <v>7002216</v>
      </c>
      <c r="B1589" s="677"/>
      <c r="C1589" s="672"/>
      <c r="D1589" s="672"/>
      <c r="E1589" s="676" t="s">
        <v>2257</v>
      </c>
      <c r="F1589" s="680" t="s">
        <v>2457</v>
      </c>
      <c r="G1589" s="710">
        <v>700</v>
      </c>
      <c r="H1589" s="682">
        <v>2216</v>
      </c>
      <c r="J1589" s="668" t="str">
        <f t="shared" si="270"/>
        <v>(d) Other Property</v>
      </c>
      <c r="L1589" s="668">
        <v>132</v>
      </c>
      <c r="M1589" s="669">
        <v>123</v>
      </c>
      <c r="N1589" s="668"/>
      <c r="O1589" s="668">
        <v>14</v>
      </c>
      <c r="P1589" s="668" t="str">
        <f>IFERROR(VLOOKUP(F1589, [2]MOE!B:C, 2, FALSE), "No")</f>
        <v>No</v>
      </c>
      <c r="Q1589" s="711"/>
      <c r="S1589" s="670" t="s">
        <v>2440</v>
      </c>
      <c r="T1589" s="668" t="s">
        <v>1059</v>
      </c>
    </row>
    <row r="1590" spans="1:20">
      <c r="A1590" s="671"/>
      <c r="B1590" s="677"/>
      <c r="C1590" s="672"/>
      <c r="D1590" s="672"/>
      <c r="E1590" s="676" t="s">
        <v>2259</v>
      </c>
      <c r="F1590" s="675"/>
      <c r="G1590" s="672"/>
      <c r="H1590" s="676"/>
      <c r="Q1590" s="711"/>
      <c r="S1590" s="670"/>
    </row>
    <row r="1591" spans="1:20">
      <c r="A1591" s="679">
        <v>8952216</v>
      </c>
      <c r="B1591" s="677"/>
      <c r="C1591" s="672"/>
      <c r="D1591" s="672"/>
      <c r="E1591" s="676" t="s">
        <v>2260</v>
      </c>
      <c r="F1591" s="680" t="s">
        <v>2458</v>
      </c>
      <c r="G1591" s="710">
        <v>895</v>
      </c>
      <c r="H1591" s="682">
        <v>2216</v>
      </c>
      <c r="J1591" s="668" t="str">
        <f t="shared" ref="J1591:J1592" si="271">E1591</f>
        <v>(a) Misc. Non-Public Expenditures</v>
      </c>
      <c r="L1591" s="668">
        <v>139</v>
      </c>
      <c r="M1591" s="669">
        <v>129</v>
      </c>
      <c r="N1591" s="668"/>
      <c r="O1591" s="668">
        <v>14</v>
      </c>
      <c r="P1591" s="668" t="str">
        <f>IFERROR(VLOOKUP(F1591, [2]MOE!B:C, 2, FALSE), "No")</f>
        <v>No</v>
      </c>
      <c r="Q1591" s="711"/>
      <c r="S1591" s="670" t="s">
        <v>2440</v>
      </c>
      <c r="T1591" s="668" t="s">
        <v>2262</v>
      </c>
    </row>
    <row r="1592" spans="1:20">
      <c r="A1592" s="679">
        <v>8002216</v>
      </c>
      <c r="B1592" s="677"/>
      <c r="C1592" s="672"/>
      <c r="D1592" s="672"/>
      <c r="E1592" s="676" t="s">
        <v>2263</v>
      </c>
      <c r="F1592" s="680" t="s">
        <v>2459</v>
      </c>
      <c r="G1592" s="710">
        <v>800</v>
      </c>
      <c r="H1592" s="682">
        <v>2216</v>
      </c>
      <c r="J1592" s="668" t="str">
        <f t="shared" si="271"/>
        <v>(b) Other Miscellaneous Expenditures</v>
      </c>
      <c r="L1592" s="668">
        <v>139</v>
      </c>
      <c r="M1592" s="669">
        <v>129</v>
      </c>
      <c r="N1592" s="668"/>
      <c r="O1592" s="668">
        <v>14</v>
      </c>
      <c r="P1592" s="668" t="str">
        <f>IFERROR(VLOOKUP(F1592, [2]MOE!B:C, 2, FALSE), "No")</f>
        <v>No</v>
      </c>
      <c r="Q1592" s="711"/>
      <c r="S1592" s="670" t="s">
        <v>2440</v>
      </c>
      <c r="T1592" s="668" t="s">
        <v>1063</v>
      </c>
    </row>
    <row r="1593" spans="1:20">
      <c r="A1593" s="671"/>
      <c r="B1593" s="677"/>
      <c r="C1593" s="672"/>
      <c r="D1593" s="672"/>
      <c r="E1593" s="676" t="s">
        <v>2265</v>
      </c>
      <c r="F1593" s="675"/>
      <c r="G1593" s="672"/>
      <c r="H1593" s="676"/>
      <c r="Q1593" s="711"/>
      <c r="S1593" s="670"/>
    </row>
    <row r="1594" spans="1:20">
      <c r="A1594" s="679">
        <v>2102216</v>
      </c>
      <c r="B1594" s="677"/>
      <c r="C1594" s="672"/>
      <c r="D1594" s="672"/>
      <c r="E1594" s="676" t="s">
        <v>2266</v>
      </c>
      <c r="F1594" s="680" t="s">
        <v>2460</v>
      </c>
      <c r="G1594" s="710">
        <v>210</v>
      </c>
      <c r="H1594" s="682">
        <v>2216</v>
      </c>
      <c r="J1594" s="668" t="str">
        <f t="shared" ref="J1594:J1596" si="272">E1594</f>
        <v>(a) Group Insurance</v>
      </c>
      <c r="L1594" s="668">
        <v>89</v>
      </c>
      <c r="M1594" s="669">
        <v>84</v>
      </c>
      <c r="N1594" s="668"/>
      <c r="O1594" s="668">
        <v>14</v>
      </c>
      <c r="P1594" s="668" t="str">
        <f>IFERROR(VLOOKUP(F1594, [2]MOE!B:C, 2, FALSE), "No")</f>
        <v>No</v>
      </c>
      <c r="Q1594" s="711" t="s">
        <v>1004</v>
      </c>
      <c r="S1594" s="670" t="s">
        <v>2440</v>
      </c>
      <c r="T1594" s="668" t="s">
        <v>1066</v>
      </c>
    </row>
    <row r="1595" spans="1:20">
      <c r="A1595" s="679">
        <v>2202216</v>
      </c>
      <c r="B1595" s="677"/>
      <c r="C1595" s="672"/>
      <c r="D1595" s="672"/>
      <c r="E1595" s="676" t="s">
        <v>2268</v>
      </c>
      <c r="F1595" s="680" t="s">
        <v>2461</v>
      </c>
      <c r="G1595" s="710">
        <v>220</v>
      </c>
      <c r="H1595" s="682">
        <v>2216</v>
      </c>
      <c r="J1595" s="668" t="str">
        <f t="shared" si="272"/>
        <v>(b) FICA</v>
      </c>
      <c r="L1595" s="668">
        <v>90</v>
      </c>
      <c r="M1595" s="669">
        <v>85</v>
      </c>
      <c r="N1595" s="668"/>
      <c r="O1595" s="668">
        <v>14</v>
      </c>
      <c r="P1595" s="668" t="str">
        <f>IFERROR(VLOOKUP(F1595, [2]MOE!B:C, 2, FALSE), "No")</f>
        <v>No</v>
      </c>
      <c r="Q1595" s="711" t="s">
        <v>1004</v>
      </c>
      <c r="S1595" s="670" t="s">
        <v>2440</v>
      </c>
      <c r="T1595" s="668" t="s">
        <v>1068</v>
      </c>
    </row>
    <row r="1596" spans="1:20">
      <c r="A1596" s="679">
        <v>2252216</v>
      </c>
      <c r="B1596" s="677"/>
      <c r="C1596" s="672"/>
      <c r="D1596" s="672"/>
      <c r="E1596" s="676" t="s">
        <v>2270</v>
      </c>
      <c r="F1596" s="680" t="s">
        <v>2462</v>
      </c>
      <c r="G1596" s="710">
        <v>225</v>
      </c>
      <c r="H1596" s="682">
        <v>2216</v>
      </c>
      <c r="J1596" s="668" t="str">
        <f t="shared" si="272"/>
        <v>(c) Medicare</v>
      </c>
      <c r="L1596" s="668">
        <v>91</v>
      </c>
      <c r="M1596" s="669">
        <v>86</v>
      </c>
      <c r="N1596" s="668"/>
      <c r="O1596" s="668">
        <v>14</v>
      </c>
      <c r="P1596" s="668" t="str">
        <f>IFERROR(VLOOKUP(F1596, [2]MOE!B:C, 2, FALSE), "No")</f>
        <v>No</v>
      </c>
      <c r="Q1596" s="711" t="s">
        <v>1004</v>
      </c>
      <c r="S1596" s="670" t="s">
        <v>2440</v>
      </c>
      <c r="T1596" s="668" t="s">
        <v>23</v>
      </c>
    </row>
    <row r="1597" spans="1:20">
      <c r="A1597" s="671"/>
      <c r="B1597" s="677"/>
      <c r="C1597" s="672"/>
      <c r="D1597" s="672"/>
      <c r="E1597" s="676" t="s">
        <v>2272</v>
      </c>
      <c r="F1597" s="675"/>
      <c r="G1597" s="672"/>
      <c r="H1597" s="676"/>
      <c r="Q1597" s="711"/>
      <c r="S1597" s="670"/>
    </row>
    <row r="1598" spans="1:20">
      <c r="A1598" s="679">
        <v>2312216</v>
      </c>
      <c r="B1598" s="677"/>
      <c r="C1598" s="672"/>
      <c r="D1598" s="672"/>
      <c r="E1598" s="676" t="s">
        <v>2273</v>
      </c>
      <c r="F1598" s="680" t="s">
        <v>2463</v>
      </c>
      <c r="G1598" s="710">
        <v>231</v>
      </c>
      <c r="H1598" s="682">
        <v>2216</v>
      </c>
      <c r="J1598" s="668" t="str">
        <f t="shared" ref="J1598:J1606" si="273">E1598</f>
        <v>1) Louisiana Teachers Retirement</v>
      </c>
      <c r="L1598" s="668">
        <v>92</v>
      </c>
      <c r="M1598" s="669">
        <v>87</v>
      </c>
      <c r="N1598" s="668"/>
      <c r="O1598" s="668">
        <v>14</v>
      </c>
      <c r="P1598" s="668" t="str">
        <f>IFERROR(VLOOKUP(F1598, [2]MOE!B:C, 2, FALSE), "No")</f>
        <v>No</v>
      </c>
      <c r="Q1598" s="711" t="s">
        <v>1004</v>
      </c>
      <c r="S1598" s="670" t="s">
        <v>2440</v>
      </c>
      <c r="T1598" s="668" t="s">
        <v>1074</v>
      </c>
    </row>
    <row r="1599" spans="1:20">
      <c r="A1599" s="679">
        <v>2332216</v>
      </c>
      <c r="B1599" s="677"/>
      <c r="C1599" s="672"/>
      <c r="D1599" s="672"/>
      <c r="E1599" s="676" t="s">
        <v>2275</v>
      </c>
      <c r="F1599" s="680" t="s">
        <v>2464</v>
      </c>
      <c r="G1599" s="710">
        <v>233</v>
      </c>
      <c r="H1599" s="682">
        <v>2216</v>
      </c>
      <c r="J1599" s="668" t="str">
        <f t="shared" si="273"/>
        <v>2) Louisiana School Emp. Retire.</v>
      </c>
      <c r="L1599" s="668">
        <v>92</v>
      </c>
      <c r="M1599" s="669">
        <v>87</v>
      </c>
      <c r="N1599" s="668"/>
      <c r="O1599" s="668">
        <v>14</v>
      </c>
      <c r="P1599" s="668" t="str">
        <f>IFERROR(VLOOKUP(F1599, [2]MOE!B:C, 2, FALSE), "No")</f>
        <v>No</v>
      </c>
      <c r="Q1599" s="711" t="s">
        <v>1004</v>
      </c>
      <c r="S1599" s="670" t="s">
        <v>2440</v>
      </c>
      <c r="T1599" s="668" t="s">
        <v>2277</v>
      </c>
    </row>
    <row r="1600" spans="1:20">
      <c r="A1600" s="679">
        <v>2392216</v>
      </c>
      <c r="B1600" s="677"/>
      <c r="C1600" s="672"/>
      <c r="D1600" s="672"/>
      <c r="E1600" s="676" t="s">
        <v>2278</v>
      </c>
      <c r="F1600" s="680" t="s">
        <v>2465</v>
      </c>
      <c r="G1600" s="710">
        <v>239</v>
      </c>
      <c r="H1600" s="682">
        <v>2216</v>
      </c>
      <c r="J1600" s="668" t="str">
        <f t="shared" si="273"/>
        <v>3) Other Retirement</v>
      </c>
      <c r="L1600" s="668">
        <v>92</v>
      </c>
      <c r="M1600" s="669">
        <v>87</v>
      </c>
      <c r="N1600" s="668"/>
      <c r="O1600" s="668">
        <v>14</v>
      </c>
      <c r="P1600" s="668" t="str">
        <f>IFERROR(VLOOKUP(F1600, [2]MOE!B:C, 2, FALSE), "No")</f>
        <v>No</v>
      </c>
      <c r="Q1600" s="711" t="s">
        <v>1004</v>
      </c>
      <c r="S1600" s="670" t="s">
        <v>2440</v>
      </c>
      <c r="T1600" s="668" t="s">
        <v>1080</v>
      </c>
    </row>
    <row r="1601" spans="1:20">
      <c r="A1601" s="679">
        <v>2502216</v>
      </c>
      <c r="B1601" s="677"/>
      <c r="C1601" s="672"/>
      <c r="D1601" s="672"/>
      <c r="E1601" s="676" t="s">
        <v>2280</v>
      </c>
      <c r="F1601" s="680" t="s">
        <v>2466</v>
      </c>
      <c r="G1601" s="710">
        <v>250</v>
      </c>
      <c r="H1601" s="682">
        <v>2216</v>
      </c>
      <c r="J1601" s="668" t="str">
        <f t="shared" si="273"/>
        <v>(e) Unemployment Compensation</v>
      </c>
      <c r="L1601" s="668">
        <v>93</v>
      </c>
      <c r="M1601" s="669">
        <v>88</v>
      </c>
      <c r="N1601" s="668"/>
      <c r="O1601" s="668">
        <v>14</v>
      </c>
      <c r="P1601" s="668" t="str">
        <f>IFERROR(VLOOKUP(F1601, [2]MOE!B:C, 2, FALSE), "No")</f>
        <v>No</v>
      </c>
      <c r="Q1601" s="711" t="s">
        <v>1004</v>
      </c>
      <c r="S1601" s="670" t="s">
        <v>2440</v>
      </c>
      <c r="T1601" s="668" t="s">
        <v>1081</v>
      </c>
    </row>
    <row r="1602" spans="1:20">
      <c r="A1602" s="679">
        <v>2602216</v>
      </c>
      <c r="B1602" s="677"/>
      <c r="C1602" s="672"/>
      <c r="D1602" s="672"/>
      <c r="E1602" s="676" t="s">
        <v>2282</v>
      </c>
      <c r="F1602" s="680" t="s">
        <v>2467</v>
      </c>
      <c r="G1602" s="710">
        <v>260</v>
      </c>
      <c r="H1602" s="682">
        <v>2216</v>
      </c>
      <c r="J1602" s="668" t="str">
        <f t="shared" si="273"/>
        <v>(f) Workmen's Compensation</v>
      </c>
      <c r="L1602" s="668">
        <v>95</v>
      </c>
      <c r="M1602" s="669">
        <v>90</v>
      </c>
      <c r="N1602" s="668"/>
      <c r="O1602" s="668">
        <v>14</v>
      </c>
      <c r="P1602" s="668" t="str">
        <f>IFERROR(VLOOKUP(F1602, [2]MOE!B:C, 2, FALSE), "No")</f>
        <v>No</v>
      </c>
      <c r="Q1602" s="711" t="s">
        <v>1004</v>
      </c>
      <c r="S1602" s="670" t="s">
        <v>2440</v>
      </c>
      <c r="T1602" s="668" t="s">
        <v>1083</v>
      </c>
    </row>
    <row r="1603" spans="1:20">
      <c r="A1603" s="679">
        <v>2702216</v>
      </c>
      <c r="B1603" s="677"/>
      <c r="C1603" s="672"/>
      <c r="D1603" s="672"/>
      <c r="E1603" s="676" t="s">
        <v>2284</v>
      </c>
      <c r="F1603" s="680" t="s">
        <v>2468</v>
      </c>
      <c r="G1603" s="710">
        <v>270</v>
      </c>
      <c r="H1603" s="682">
        <v>2216</v>
      </c>
      <c r="J1603" s="668" t="str">
        <f t="shared" si="273"/>
        <v>(g) Health Benefits (retirees)</v>
      </c>
      <c r="L1603" s="668">
        <v>94</v>
      </c>
      <c r="M1603" s="669">
        <v>89</v>
      </c>
      <c r="N1603" s="668"/>
      <c r="O1603" s="668">
        <v>14</v>
      </c>
      <c r="P1603" s="668" t="str">
        <f>IFERROR(VLOOKUP(F1603, [2]MOE!B:C, 2, FALSE), "No")</f>
        <v>No</v>
      </c>
      <c r="Q1603" s="711" t="s">
        <v>1004</v>
      </c>
      <c r="S1603" s="670" t="s">
        <v>2440</v>
      </c>
      <c r="T1603" s="668" t="s">
        <v>1085</v>
      </c>
    </row>
    <row r="1604" spans="1:20">
      <c r="A1604" s="679">
        <v>2812216</v>
      </c>
      <c r="B1604" s="677"/>
      <c r="C1604" s="672"/>
      <c r="D1604" s="672"/>
      <c r="E1604" s="676" t="s">
        <v>2286</v>
      </c>
      <c r="F1604" s="680" t="s">
        <v>2469</v>
      </c>
      <c r="G1604" s="710">
        <v>281</v>
      </c>
      <c r="H1604" s="682">
        <v>2216</v>
      </c>
      <c r="J1604" s="668" t="str">
        <f t="shared" si="273"/>
        <v>(h) Sick Leave Severance Pay</v>
      </c>
      <c r="L1604" s="668">
        <v>95</v>
      </c>
      <c r="M1604" s="669">
        <v>90</v>
      </c>
      <c r="N1604" s="668"/>
      <c r="O1604" s="668">
        <v>14</v>
      </c>
      <c r="P1604" s="668" t="str">
        <f>IFERROR(VLOOKUP(F1604, [2]MOE!B:C, 2, FALSE), "No")</f>
        <v>No</v>
      </c>
      <c r="Q1604" s="711" t="s">
        <v>1004</v>
      </c>
      <c r="S1604" s="670" t="s">
        <v>2440</v>
      </c>
      <c r="T1604" s="668" t="s">
        <v>1087</v>
      </c>
    </row>
    <row r="1605" spans="1:20">
      <c r="A1605" s="679">
        <v>2822216</v>
      </c>
      <c r="B1605" s="677"/>
      <c r="C1605" s="672"/>
      <c r="D1605" s="672"/>
      <c r="E1605" s="676" t="s">
        <v>2288</v>
      </c>
      <c r="F1605" s="680" t="s">
        <v>2470</v>
      </c>
      <c r="G1605" s="710">
        <v>282</v>
      </c>
      <c r="H1605" s="682">
        <v>2216</v>
      </c>
      <c r="J1605" s="668" t="str">
        <f t="shared" si="273"/>
        <v>(i) Annual Leave Severance Pay</v>
      </c>
      <c r="L1605" s="668">
        <v>95</v>
      </c>
      <c r="M1605" s="669">
        <v>90</v>
      </c>
      <c r="N1605" s="668"/>
      <c r="O1605" s="668">
        <v>14</v>
      </c>
      <c r="P1605" s="668" t="str">
        <f>IFERROR(VLOOKUP(F1605, [2]MOE!B:C, 2, FALSE), "No")</f>
        <v>No</v>
      </c>
      <c r="Q1605" s="711" t="s">
        <v>1004</v>
      </c>
      <c r="S1605" s="670" t="s">
        <v>2440</v>
      </c>
      <c r="T1605" s="668" t="s">
        <v>1089</v>
      </c>
    </row>
    <row r="1606" spans="1:20">
      <c r="A1606" s="679">
        <v>2902216</v>
      </c>
      <c r="B1606" s="677"/>
      <c r="C1606" s="672"/>
      <c r="D1606" s="672"/>
      <c r="E1606" s="676" t="s">
        <v>2290</v>
      </c>
      <c r="F1606" s="680" t="s">
        <v>2471</v>
      </c>
      <c r="G1606" s="710">
        <v>290</v>
      </c>
      <c r="H1606" s="682">
        <v>2216</v>
      </c>
      <c r="J1606" s="668" t="str">
        <f t="shared" si="273"/>
        <v>(j) Other Employee Benefits</v>
      </c>
      <c r="L1606" s="668">
        <v>95</v>
      </c>
      <c r="M1606" s="669">
        <v>90</v>
      </c>
      <c r="N1606" s="668"/>
      <c r="O1606" s="668">
        <v>14</v>
      </c>
      <c r="P1606" s="668" t="str">
        <f>IFERROR(VLOOKUP(F1606, [2]MOE!B:C, 2, FALSE), "No")</f>
        <v>No</v>
      </c>
      <c r="Q1606" s="711" t="s">
        <v>1004</v>
      </c>
      <c r="S1606" s="670" t="s">
        <v>2440</v>
      </c>
      <c r="T1606" s="668" t="s">
        <v>1092</v>
      </c>
    </row>
    <row r="1607" spans="1:20">
      <c r="A1607" s="671"/>
      <c r="B1607" s="677"/>
      <c r="C1607" s="672"/>
      <c r="D1607" s="672" t="s">
        <v>856</v>
      </c>
      <c r="E1607" s="675" t="s">
        <v>2472</v>
      </c>
      <c r="F1607" s="675"/>
      <c r="G1607" s="672"/>
      <c r="H1607" s="676"/>
      <c r="Q1607" s="711"/>
      <c r="S1607" s="670"/>
    </row>
    <row r="1608" spans="1:20">
      <c r="A1608" s="671"/>
      <c r="B1608" s="677"/>
      <c r="C1608" s="672"/>
      <c r="D1608" s="672"/>
      <c r="E1608" s="676" t="s">
        <v>2473</v>
      </c>
      <c r="F1608" s="675"/>
      <c r="G1608" s="672"/>
      <c r="H1608" s="676"/>
      <c r="Q1608" s="711"/>
      <c r="S1608" s="670"/>
    </row>
    <row r="1609" spans="1:20">
      <c r="A1609" s="679">
        <v>1112219</v>
      </c>
      <c r="B1609" s="677"/>
      <c r="C1609" s="672"/>
      <c r="D1609" s="672"/>
      <c r="E1609" s="676" t="s">
        <v>2474</v>
      </c>
      <c r="F1609" s="680" t="s">
        <v>2475</v>
      </c>
      <c r="G1609" s="710">
        <v>111</v>
      </c>
      <c r="H1609" s="682">
        <v>2219</v>
      </c>
      <c r="J1609" s="668" t="str">
        <f t="shared" ref="J1609:J1614" si="274">E1609</f>
        <v>(a) Director/Super. (e.g., JROTC CO)</v>
      </c>
      <c r="L1609" s="668">
        <v>81</v>
      </c>
      <c r="M1609" s="669">
        <v>76</v>
      </c>
      <c r="N1609" s="668"/>
      <c r="O1609" s="668">
        <v>14</v>
      </c>
      <c r="P1609" s="668" t="str">
        <f>IFERROR(VLOOKUP(F1609, [2]MOE!B:C, 2, FALSE), "No")</f>
        <v>No</v>
      </c>
      <c r="Q1609" s="711" t="s">
        <v>1004</v>
      </c>
      <c r="S1609" s="670" t="s">
        <v>2476</v>
      </c>
      <c r="T1609" s="668" t="s">
        <v>2477</v>
      </c>
    </row>
    <row r="1610" spans="1:20">
      <c r="A1610" s="679">
        <v>1132219</v>
      </c>
      <c r="B1610" s="677"/>
      <c r="C1610" s="672"/>
      <c r="D1610" s="672"/>
      <c r="E1610" s="676" t="s">
        <v>2219</v>
      </c>
      <c r="F1610" s="680" t="s">
        <v>2478</v>
      </c>
      <c r="G1610" s="710">
        <v>113</v>
      </c>
      <c r="H1610" s="682">
        <v>2219</v>
      </c>
      <c r="J1610" s="668" t="str">
        <f t="shared" si="274"/>
        <v>(b) Specialists</v>
      </c>
      <c r="L1610" s="668">
        <v>83</v>
      </c>
      <c r="M1610" s="669">
        <v>78</v>
      </c>
      <c r="N1610" s="668"/>
      <c r="O1610" s="668">
        <v>14</v>
      </c>
      <c r="P1610" s="668" t="str">
        <f>IFERROR(VLOOKUP(F1610, [2]MOE!B:C, 2, FALSE), "No")</f>
        <v>No</v>
      </c>
      <c r="Q1610" s="711" t="s">
        <v>1004</v>
      </c>
      <c r="S1610" s="670" t="s">
        <v>2476</v>
      </c>
      <c r="T1610" s="668" t="s">
        <v>2221</v>
      </c>
    </row>
    <row r="1611" spans="1:20">
      <c r="A1611" s="679">
        <v>1142219</v>
      </c>
      <c r="B1611" s="677"/>
      <c r="C1611" s="672"/>
      <c r="D1611" s="672"/>
      <c r="E1611" s="676" t="s">
        <v>2222</v>
      </c>
      <c r="F1611" s="680" t="s">
        <v>2479</v>
      </c>
      <c r="G1611" s="710">
        <v>114</v>
      </c>
      <c r="H1611" s="682">
        <v>2219</v>
      </c>
      <c r="J1611" s="668" t="str">
        <f t="shared" si="274"/>
        <v>(c) Clerical/Secretarial</v>
      </c>
      <c r="L1611" s="668">
        <v>84</v>
      </c>
      <c r="M1611" s="669">
        <v>79</v>
      </c>
      <c r="N1611" s="668"/>
      <c r="O1611" s="668">
        <v>14</v>
      </c>
      <c r="P1611" s="668" t="str">
        <f>IFERROR(VLOOKUP(F1611, [2]MOE!B:C, 2, FALSE), "No")</f>
        <v>No</v>
      </c>
      <c r="Q1611" s="711" t="s">
        <v>1004</v>
      </c>
      <c r="S1611" s="670" t="s">
        <v>2476</v>
      </c>
      <c r="T1611" s="668" t="s">
        <v>1854</v>
      </c>
    </row>
    <row r="1612" spans="1:20">
      <c r="A1612" s="679">
        <v>1002219</v>
      </c>
      <c r="B1612" s="677"/>
      <c r="C1612" s="672"/>
      <c r="D1612" s="672"/>
      <c r="E1612" s="676" t="s">
        <v>2224</v>
      </c>
      <c r="F1612" s="680" t="s">
        <v>2480</v>
      </c>
      <c r="G1612" s="710">
        <v>100</v>
      </c>
      <c r="H1612" s="682">
        <v>2219</v>
      </c>
      <c r="J1612" s="668" t="str">
        <f t="shared" si="274"/>
        <v>(d) Other Salaries</v>
      </c>
      <c r="L1612" s="668">
        <v>86</v>
      </c>
      <c r="M1612" s="669">
        <v>81</v>
      </c>
      <c r="N1612" s="668"/>
      <c r="O1612" s="668">
        <v>14</v>
      </c>
      <c r="P1612" s="668" t="str">
        <f>IFERROR(VLOOKUP(F1612, [2]MOE!B:C, 2, FALSE), "No")</f>
        <v>No</v>
      </c>
      <c r="Q1612" s="711" t="s">
        <v>1004</v>
      </c>
      <c r="S1612" s="670" t="s">
        <v>2476</v>
      </c>
      <c r="T1612" s="668" t="s">
        <v>1947</v>
      </c>
    </row>
    <row r="1613" spans="1:20">
      <c r="A1613" s="679">
        <v>1402219</v>
      </c>
      <c r="B1613" s="677"/>
      <c r="C1613" s="672"/>
      <c r="D1613" s="672"/>
      <c r="E1613" s="676" t="s">
        <v>2226</v>
      </c>
      <c r="F1613" s="680" t="s">
        <v>2481</v>
      </c>
      <c r="G1613" s="710">
        <v>140</v>
      </c>
      <c r="H1613" s="682">
        <v>2219</v>
      </c>
      <c r="J1613" s="668" t="str">
        <f t="shared" si="274"/>
        <v>(e) Sabbatical Leave</v>
      </c>
      <c r="L1613" s="668">
        <v>86</v>
      </c>
      <c r="M1613" s="669">
        <v>81</v>
      </c>
      <c r="N1613" s="668"/>
      <c r="O1613" s="668">
        <v>14</v>
      </c>
      <c r="P1613" s="668" t="str">
        <f>IFERROR(VLOOKUP(F1613, [2]MOE!B:C, 2, FALSE), "No")</f>
        <v>No</v>
      </c>
      <c r="Q1613" s="711" t="s">
        <v>1004</v>
      </c>
      <c r="S1613" s="670" t="s">
        <v>2476</v>
      </c>
      <c r="T1613" s="668" t="s">
        <v>1019</v>
      </c>
    </row>
    <row r="1614" spans="1:20">
      <c r="A1614" s="679">
        <v>3002219</v>
      </c>
      <c r="B1614" s="677"/>
      <c r="C1614" s="672"/>
      <c r="D1614" s="672"/>
      <c r="E1614" s="676" t="s">
        <v>2228</v>
      </c>
      <c r="F1614" s="680" t="s">
        <v>2482</v>
      </c>
      <c r="G1614" s="710">
        <v>300</v>
      </c>
      <c r="H1614" s="682">
        <v>2219</v>
      </c>
      <c r="J1614" s="668" t="str">
        <f t="shared" si="274"/>
        <v>(2) Purchased Professional and Tech. Svcs</v>
      </c>
      <c r="L1614" s="668">
        <v>101</v>
      </c>
      <c r="M1614" s="669">
        <v>96</v>
      </c>
      <c r="N1614" s="668"/>
      <c r="O1614" s="668">
        <v>14</v>
      </c>
      <c r="P1614" s="668" t="str">
        <f>IFERROR(VLOOKUP(F1614, [2]MOE!B:C, 2, FALSE), "No")</f>
        <v>No</v>
      </c>
      <c r="Q1614" s="711"/>
      <c r="S1614" s="670" t="s">
        <v>2476</v>
      </c>
      <c r="T1614" s="668" t="s">
        <v>2230</v>
      </c>
    </row>
    <row r="1615" spans="1:20">
      <c r="A1615" s="671"/>
      <c r="B1615" s="677"/>
      <c r="C1615" s="672"/>
      <c r="D1615" s="672"/>
      <c r="E1615" s="676" t="s">
        <v>2231</v>
      </c>
      <c r="F1615" s="675"/>
      <c r="G1615" s="672"/>
      <c r="H1615" s="676"/>
      <c r="Q1615" s="711"/>
      <c r="S1615" s="670"/>
    </row>
    <row r="1616" spans="1:20">
      <c r="A1616" s="679">
        <v>4302219</v>
      </c>
      <c r="B1616" s="677"/>
      <c r="C1616" s="672"/>
      <c r="D1616" s="672"/>
      <c r="E1616" s="676" t="s">
        <v>2232</v>
      </c>
      <c r="F1616" s="680" t="s">
        <v>2483</v>
      </c>
      <c r="G1616" s="710">
        <v>430</v>
      </c>
      <c r="H1616" s="682">
        <v>2219</v>
      </c>
      <c r="J1616" s="668" t="str">
        <f t="shared" ref="J1616:J1618" si="275">E1616</f>
        <v>(a) Repairs and Maintenance Services</v>
      </c>
      <c r="L1616" s="668">
        <v>107</v>
      </c>
      <c r="M1616" s="669">
        <v>102</v>
      </c>
      <c r="N1616" s="668"/>
      <c r="O1616" s="668">
        <v>14</v>
      </c>
      <c r="P1616" s="668" t="str">
        <f>IFERROR(VLOOKUP(F1616, [2]MOE!B:C, 2, FALSE), "No")</f>
        <v>No</v>
      </c>
      <c r="Q1616" s="711"/>
      <c r="S1616" s="670" t="s">
        <v>2476</v>
      </c>
      <c r="T1616" s="668" t="s">
        <v>1023</v>
      </c>
    </row>
    <row r="1617" spans="1:20">
      <c r="A1617" s="679">
        <v>4422219</v>
      </c>
      <c r="B1617" s="677"/>
      <c r="C1617" s="672"/>
      <c r="D1617" s="672"/>
      <c r="E1617" s="676" t="s">
        <v>2234</v>
      </c>
      <c r="F1617" s="680" t="s">
        <v>2484</v>
      </c>
      <c r="G1617" s="710">
        <v>442</v>
      </c>
      <c r="H1617" s="682">
        <v>2219</v>
      </c>
      <c r="J1617" s="668" t="str">
        <f t="shared" si="275"/>
        <v>(b) Rental of Equipment</v>
      </c>
      <c r="L1617" s="668">
        <v>106</v>
      </c>
      <c r="M1617" s="669">
        <v>101</v>
      </c>
      <c r="N1617" s="668"/>
      <c r="O1617" s="668">
        <v>14</v>
      </c>
      <c r="P1617" s="668" t="str">
        <f>IFERROR(VLOOKUP(F1617, [2]MOE!B:C, 2, FALSE), "No")</f>
        <v>No</v>
      </c>
      <c r="Q1617" s="711"/>
      <c r="S1617" s="670" t="s">
        <v>2476</v>
      </c>
      <c r="T1617" s="668" t="s">
        <v>1025</v>
      </c>
    </row>
    <row r="1618" spans="1:20">
      <c r="A1618" s="679">
        <v>4002219</v>
      </c>
      <c r="B1618" s="677"/>
      <c r="C1618" s="672"/>
      <c r="D1618" s="672"/>
      <c r="E1618" s="676" t="s">
        <v>2236</v>
      </c>
      <c r="F1618" s="680" t="s">
        <v>2485</v>
      </c>
      <c r="G1618" s="710">
        <v>400</v>
      </c>
      <c r="H1618" s="682">
        <v>2219</v>
      </c>
      <c r="J1618" s="668" t="str">
        <f t="shared" si="275"/>
        <v>(c) Other Purchased Property Svcs</v>
      </c>
      <c r="L1618" s="668">
        <v>108</v>
      </c>
      <c r="M1618" s="669">
        <v>103</v>
      </c>
      <c r="N1618" s="668"/>
      <c r="O1618" s="668">
        <v>14</v>
      </c>
      <c r="P1618" s="668" t="str">
        <f>IFERROR(VLOOKUP(F1618, [2]MOE!B:C, 2, FALSE), "No")</f>
        <v>No</v>
      </c>
      <c r="Q1618" s="711"/>
      <c r="S1618" s="670" t="s">
        <v>2476</v>
      </c>
      <c r="T1618" s="668" t="s">
        <v>2238</v>
      </c>
    </row>
    <row r="1619" spans="1:20">
      <c r="A1619" s="671"/>
      <c r="B1619" s="677"/>
      <c r="C1619" s="672"/>
      <c r="D1619" s="672"/>
      <c r="E1619" s="676" t="s">
        <v>1395</v>
      </c>
      <c r="F1619" s="675"/>
      <c r="G1619" s="672"/>
      <c r="H1619" s="676"/>
      <c r="Q1619" s="711"/>
      <c r="S1619" s="670"/>
    </row>
    <row r="1620" spans="1:20">
      <c r="A1620" s="679">
        <v>5822219</v>
      </c>
      <c r="B1620" s="677"/>
      <c r="C1620" s="672"/>
      <c r="D1620" s="672"/>
      <c r="E1620" s="676" t="s">
        <v>2239</v>
      </c>
      <c r="F1620" s="680" t="s">
        <v>2486</v>
      </c>
      <c r="G1620" s="710">
        <v>582</v>
      </c>
      <c r="H1620" s="682">
        <v>2219</v>
      </c>
      <c r="J1620" s="668" t="str">
        <f t="shared" ref="J1620:J1621" si="276">E1620</f>
        <v>(a) Travel Expense Reimbursement</v>
      </c>
      <c r="L1620" s="668">
        <v>118</v>
      </c>
      <c r="M1620" s="669">
        <v>109</v>
      </c>
      <c r="N1620" s="668"/>
      <c r="O1620" s="668">
        <v>14</v>
      </c>
      <c r="P1620" s="668" t="str">
        <f>IFERROR(VLOOKUP(F1620, [2]MOE!B:C, 2, FALSE), "No")</f>
        <v>No</v>
      </c>
      <c r="Q1620" s="711"/>
      <c r="S1620" s="670" t="s">
        <v>2476</v>
      </c>
      <c r="T1620" s="668" t="s">
        <v>1039</v>
      </c>
    </row>
    <row r="1621" spans="1:20">
      <c r="A1621" s="679">
        <v>5002219</v>
      </c>
      <c r="B1621" s="677"/>
      <c r="C1621" s="672"/>
      <c r="D1621" s="672"/>
      <c r="E1621" s="676" t="s">
        <v>2241</v>
      </c>
      <c r="F1621" s="680" t="s">
        <v>2487</v>
      </c>
      <c r="G1621" s="710">
        <v>500</v>
      </c>
      <c r="H1621" s="682">
        <v>2219</v>
      </c>
      <c r="J1621" s="668" t="str">
        <f t="shared" si="276"/>
        <v>(b) Other Purchased Services</v>
      </c>
      <c r="L1621" s="668">
        <v>119</v>
      </c>
      <c r="M1621" s="669">
        <v>110</v>
      </c>
      <c r="N1621" s="668"/>
      <c r="O1621" s="668">
        <v>14</v>
      </c>
      <c r="P1621" s="668" t="str">
        <f>IFERROR(VLOOKUP(F1621, [2]MOE!B:C, 2, FALSE), "No")</f>
        <v>No</v>
      </c>
      <c r="Q1621" s="711"/>
      <c r="S1621" s="670" t="s">
        <v>2476</v>
      </c>
      <c r="T1621" s="668" t="s">
        <v>252</v>
      </c>
    </row>
    <row r="1622" spans="1:20">
      <c r="A1622" s="671"/>
      <c r="B1622" s="677"/>
      <c r="C1622" s="672"/>
      <c r="D1622" s="672"/>
      <c r="E1622" s="676" t="s">
        <v>2243</v>
      </c>
      <c r="F1622" s="675"/>
      <c r="G1622" s="672"/>
      <c r="H1622" s="676"/>
      <c r="Q1622" s="711"/>
      <c r="S1622" s="670"/>
    </row>
    <row r="1623" spans="1:20">
      <c r="A1623" s="679">
        <v>6152219</v>
      </c>
      <c r="B1623" s="677"/>
      <c r="C1623" s="672"/>
      <c r="D1623" s="672"/>
      <c r="E1623" s="676" t="s">
        <v>2244</v>
      </c>
      <c r="F1623" s="680" t="s">
        <v>2488</v>
      </c>
      <c r="G1623" s="710">
        <v>615</v>
      </c>
      <c r="H1623" s="682">
        <v>2219</v>
      </c>
      <c r="J1623" s="668" t="str">
        <f t="shared" ref="J1623:J1625" si="277">E1623</f>
        <v>(a) Technology-Related Supplies</v>
      </c>
      <c r="L1623" s="668">
        <v>126</v>
      </c>
      <c r="M1623" s="669">
        <v>117</v>
      </c>
      <c r="N1623" s="668"/>
      <c r="O1623" s="668">
        <v>14</v>
      </c>
      <c r="P1623" s="668" t="str">
        <f>IFERROR(VLOOKUP(F1623, [2]MOE!B:C, 2, FALSE), "No")</f>
        <v>No</v>
      </c>
      <c r="Q1623" s="711" t="s">
        <v>1045</v>
      </c>
      <c r="S1623" s="670" t="s">
        <v>2476</v>
      </c>
      <c r="T1623" s="668" t="s">
        <v>1043</v>
      </c>
    </row>
    <row r="1624" spans="1:20">
      <c r="A1624" s="679">
        <v>6102219</v>
      </c>
      <c r="B1624" s="677"/>
      <c r="C1624" s="672"/>
      <c r="D1624" s="672"/>
      <c r="E1624" s="676" t="s">
        <v>2246</v>
      </c>
      <c r="F1624" s="680" t="s">
        <v>2489</v>
      </c>
      <c r="G1624" s="710">
        <v>610</v>
      </c>
      <c r="H1624" s="682">
        <v>2219</v>
      </c>
      <c r="J1624" s="668" t="str">
        <f t="shared" si="277"/>
        <v>(b) Materials and Supplies</v>
      </c>
      <c r="L1624" s="668">
        <v>122</v>
      </c>
      <c r="M1624" s="669">
        <v>113</v>
      </c>
      <c r="N1624" s="668"/>
      <c r="O1624" s="668">
        <v>14</v>
      </c>
      <c r="P1624" s="668" t="str">
        <f>IFERROR(VLOOKUP(F1624, [2]MOE!B:C, 2, FALSE), "No")</f>
        <v>No</v>
      </c>
      <c r="Q1624" s="711" t="s">
        <v>1045</v>
      </c>
      <c r="S1624" s="670" t="s">
        <v>2476</v>
      </c>
      <c r="T1624" s="668" t="s">
        <v>39</v>
      </c>
    </row>
    <row r="1625" spans="1:20">
      <c r="A1625" s="679">
        <v>6002219</v>
      </c>
      <c r="B1625" s="677"/>
      <c r="C1625" s="672"/>
      <c r="D1625" s="672"/>
      <c r="E1625" s="676" t="s">
        <v>2248</v>
      </c>
      <c r="F1625" s="680" t="s">
        <v>2490</v>
      </c>
      <c r="G1625" s="710">
        <v>600</v>
      </c>
      <c r="H1625" s="682">
        <v>2219</v>
      </c>
      <c r="J1625" s="668" t="str">
        <f t="shared" si="277"/>
        <v>(c) Other Supplies</v>
      </c>
      <c r="L1625" s="668">
        <v>126</v>
      </c>
      <c r="M1625" s="669">
        <v>117</v>
      </c>
      <c r="N1625" s="668"/>
      <c r="O1625" s="668">
        <v>14</v>
      </c>
      <c r="P1625" s="668" t="str">
        <f>IFERROR(VLOOKUP(F1625, [2]MOE!B:C, 2, FALSE), "No")</f>
        <v>No</v>
      </c>
      <c r="Q1625" s="711"/>
      <c r="S1625" s="670" t="s">
        <v>2476</v>
      </c>
      <c r="T1625" s="668" t="s">
        <v>1050</v>
      </c>
    </row>
    <row r="1626" spans="1:20">
      <c r="A1626" s="671"/>
      <c r="B1626" s="677"/>
      <c r="C1626" s="672"/>
      <c r="D1626" s="672"/>
      <c r="E1626" s="676" t="s">
        <v>2250</v>
      </c>
      <c r="F1626" s="675"/>
      <c r="G1626" s="672"/>
      <c r="H1626" s="676"/>
      <c r="Q1626" s="711"/>
      <c r="S1626" s="670"/>
    </row>
    <row r="1627" spans="1:20">
      <c r="A1627" s="679">
        <v>7342219</v>
      </c>
      <c r="B1627" s="677"/>
      <c r="C1627" s="672"/>
      <c r="D1627" s="672"/>
      <c r="E1627" s="676" t="s">
        <v>2251</v>
      </c>
      <c r="F1627" s="680" t="s">
        <v>2491</v>
      </c>
      <c r="G1627" s="710">
        <v>734</v>
      </c>
      <c r="H1627" s="682">
        <v>2219</v>
      </c>
      <c r="J1627" s="668" t="str">
        <f t="shared" ref="J1627:J1630" si="278">E1627</f>
        <v>(a) Technology-Related Hardware</v>
      </c>
      <c r="L1627" s="668">
        <v>131</v>
      </c>
      <c r="M1627" s="669">
        <v>122</v>
      </c>
      <c r="N1627" s="668"/>
      <c r="O1627" s="668">
        <v>14</v>
      </c>
      <c r="P1627" s="668" t="str">
        <f>IFERROR(VLOOKUP(F1627, [2]MOE!B:C, 2, FALSE), "No")</f>
        <v>No</v>
      </c>
      <c r="Q1627" s="711"/>
      <c r="S1627" s="670" t="s">
        <v>2476</v>
      </c>
      <c r="T1627" s="668" t="s">
        <v>1053</v>
      </c>
    </row>
    <row r="1628" spans="1:20">
      <c r="A1628" s="679">
        <v>7352219</v>
      </c>
      <c r="B1628" s="677"/>
      <c r="C1628" s="672"/>
      <c r="D1628" s="672"/>
      <c r="E1628" s="676" t="s">
        <v>2253</v>
      </c>
      <c r="F1628" s="680" t="s">
        <v>2492</v>
      </c>
      <c r="G1628" s="710">
        <v>735</v>
      </c>
      <c r="H1628" s="682">
        <v>2219</v>
      </c>
      <c r="J1628" s="668" t="str">
        <f t="shared" si="278"/>
        <v>(b) Technology Software</v>
      </c>
      <c r="L1628" s="668">
        <v>131</v>
      </c>
      <c r="M1628" s="669">
        <v>122</v>
      </c>
      <c r="N1628" s="668"/>
      <c r="O1628" s="668">
        <v>14</v>
      </c>
      <c r="P1628" s="668" t="str">
        <f>IFERROR(VLOOKUP(F1628, [2]MOE!B:C, 2, FALSE), "No")</f>
        <v>No</v>
      </c>
      <c r="Q1628" s="711"/>
      <c r="S1628" s="670" t="s">
        <v>2476</v>
      </c>
      <c r="T1628" s="668" t="s">
        <v>1055</v>
      </c>
    </row>
    <row r="1629" spans="1:20">
      <c r="A1629" s="679">
        <v>7302219</v>
      </c>
      <c r="B1629" s="677"/>
      <c r="C1629" s="672"/>
      <c r="D1629" s="672"/>
      <c r="E1629" s="676" t="s">
        <v>2255</v>
      </c>
      <c r="F1629" s="680" t="s">
        <v>2493</v>
      </c>
      <c r="G1629" s="710">
        <v>730</v>
      </c>
      <c r="H1629" s="682">
        <v>2219</v>
      </c>
      <c r="J1629" s="668" t="str">
        <f t="shared" si="278"/>
        <v>(c) All Other Equipment</v>
      </c>
      <c r="L1629" s="668">
        <v>131</v>
      </c>
      <c r="M1629" s="669">
        <v>122</v>
      </c>
      <c r="N1629" s="668"/>
      <c r="O1629" s="668">
        <v>14</v>
      </c>
      <c r="P1629" s="668" t="str">
        <f>IFERROR(VLOOKUP(F1629, [2]MOE!B:C, 2, FALSE), "No")</f>
        <v>No</v>
      </c>
      <c r="Q1629" s="711"/>
      <c r="S1629" s="670" t="s">
        <v>2476</v>
      </c>
      <c r="T1629" s="668" t="s">
        <v>1057</v>
      </c>
    </row>
    <row r="1630" spans="1:20">
      <c r="A1630" s="679">
        <v>7002219</v>
      </c>
      <c r="B1630" s="677"/>
      <c r="C1630" s="672"/>
      <c r="D1630" s="672"/>
      <c r="E1630" s="676" t="s">
        <v>2257</v>
      </c>
      <c r="F1630" s="680" t="s">
        <v>2494</v>
      </c>
      <c r="G1630" s="710">
        <v>700</v>
      </c>
      <c r="H1630" s="682">
        <v>2219</v>
      </c>
      <c r="J1630" s="668" t="str">
        <f t="shared" si="278"/>
        <v>(d) Other Property</v>
      </c>
      <c r="L1630" s="668">
        <v>132</v>
      </c>
      <c r="M1630" s="669">
        <v>123</v>
      </c>
      <c r="N1630" s="668"/>
      <c r="O1630" s="668">
        <v>14</v>
      </c>
      <c r="P1630" s="668" t="str">
        <f>IFERROR(VLOOKUP(F1630, [2]MOE!B:C, 2, FALSE), "No")</f>
        <v>No</v>
      </c>
      <c r="Q1630" s="711"/>
      <c r="S1630" s="670" t="s">
        <v>2476</v>
      </c>
      <c r="T1630" s="668" t="s">
        <v>1059</v>
      </c>
    </row>
    <row r="1631" spans="1:20">
      <c r="A1631" s="671"/>
      <c r="B1631" s="677"/>
      <c r="C1631" s="672"/>
      <c r="D1631" s="672"/>
      <c r="E1631" s="676" t="s">
        <v>2259</v>
      </c>
      <c r="F1631" s="675"/>
      <c r="G1631" s="672"/>
      <c r="H1631" s="676"/>
      <c r="Q1631" s="711"/>
      <c r="S1631" s="670"/>
    </row>
    <row r="1632" spans="1:20">
      <c r="A1632" s="679">
        <v>8952219</v>
      </c>
      <c r="B1632" s="677"/>
      <c r="C1632" s="672"/>
      <c r="D1632" s="672"/>
      <c r="E1632" s="676" t="s">
        <v>2260</v>
      </c>
      <c r="F1632" s="680" t="s">
        <v>2495</v>
      </c>
      <c r="G1632" s="710">
        <v>895</v>
      </c>
      <c r="H1632" s="682">
        <v>2219</v>
      </c>
      <c r="J1632" s="668" t="str">
        <f t="shared" ref="J1632:J1633" si="279">E1632</f>
        <v>(a) Misc. Non-Public Expenditures</v>
      </c>
      <c r="L1632" s="668">
        <v>139</v>
      </c>
      <c r="M1632" s="669">
        <v>129</v>
      </c>
      <c r="N1632" s="668"/>
      <c r="O1632" s="668">
        <v>14</v>
      </c>
      <c r="P1632" s="668" t="str">
        <f>IFERROR(VLOOKUP(F1632, [2]MOE!B:C, 2, FALSE), "No")</f>
        <v>No</v>
      </c>
      <c r="Q1632" s="711"/>
      <c r="S1632" s="670" t="s">
        <v>2476</v>
      </c>
      <c r="T1632" s="668" t="s">
        <v>2262</v>
      </c>
    </row>
    <row r="1633" spans="1:20">
      <c r="A1633" s="679">
        <v>8002219</v>
      </c>
      <c r="B1633" s="677"/>
      <c r="C1633" s="672"/>
      <c r="D1633" s="672"/>
      <c r="E1633" s="676" t="s">
        <v>2263</v>
      </c>
      <c r="F1633" s="680" t="s">
        <v>2496</v>
      </c>
      <c r="G1633" s="710">
        <v>800</v>
      </c>
      <c r="H1633" s="682">
        <v>2219</v>
      </c>
      <c r="J1633" s="668" t="str">
        <f t="shared" si="279"/>
        <v>(b) Other Miscellaneous Expenditures</v>
      </c>
      <c r="L1633" s="668">
        <v>139</v>
      </c>
      <c r="M1633" s="669">
        <v>129</v>
      </c>
      <c r="N1633" s="668"/>
      <c r="O1633" s="668">
        <v>14</v>
      </c>
      <c r="P1633" s="668" t="str">
        <f>IFERROR(VLOOKUP(F1633, [2]MOE!B:C, 2, FALSE), "No")</f>
        <v>No</v>
      </c>
      <c r="Q1633" s="711"/>
      <c r="S1633" s="670" t="s">
        <v>2476</v>
      </c>
      <c r="T1633" s="668" t="s">
        <v>1063</v>
      </c>
    </row>
    <row r="1634" spans="1:20">
      <c r="A1634" s="671"/>
      <c r="B1634" s="677"/>
      <c r="C1634" s="672"/>
      <c r="D1634" s="672"/>
      <c r="E1634" s="676" t="s">
        <v>2265</v>
      </c>
      <c r="F1634" s="675"/>
      <c r="G1634" s="672"/>
      <c r="H1634" s="676"/>
      <c r="Q1634" s="711"/>
      <c r="S1634" s="670"/>
    </row>
    <row r="1635" spans="1:20">
      <c r="A1635" s="679">
        <v>2102219</v>
      </c>
      <c r="B1635" s="677"/>
      <c r="C1635" s="672"/>
      <c r="D1635" s="672"/>
      <c r="E1635" s="676" t="s">
        <v>2266</v>
      </c>
      <c r="F1635" s="680" t="s">
        <v>2497</v>
      </c>
      <c r="G1635" s="710">
        <v>210</v>
      </c>
      <c r="H1635" s="682">
        <v>2219</v>
      </c>
      <c r="J1635" s="668" t="str">
        <f t="shared" ref="J1635:J1637" si="280">E1635</f>
        <v>(a) Group Insurance</v>
      </c>
      <c r="L1635" s="668">
        <v>89</v>
      </c>
      <c r="M1635" s="669">
        <v>84</v>
      </c>
      <c r="N1635" s="668"/>
      <c r="O1635" s="668">
        <v>14</v>
      </c>
      <c r="P1635" s="668" t="str">
        <f>IFERROR(VLOOKUP(F1635, [2]MOE!B:C, 2, FALSE), "No")</f>
        <v>No</v>
      </c>
      <c r="Q1635" s="711" t="s">
        <v>1004</v>
      </c>
      <c r="S1635" s="670" t="s">
        <v>2476</v>
      </c>
      <c r="T1635" s="668" t="s">
        <v>1066</v>
      </c>
    </row>
    <row r="1636" spans="1:20">
      <c r="A1636" s="679">
        <v>2202219</v>
      </c>
      <c r="B1636" s="677"/>
      <c r="C1636" s="672"/>
      <c r="D1636" s="672"/>
      <c r="E1636" s="676" t="s">
        <v>2268</v>
      </c>
      <c r="F1636" s="680" t="s">
        <v>2498</v>
      </c>
      <c r="G1636" s="710">
        <v>220</v>
      </c>
      <c r="H1636" s="682">
        <v>2219</v>
      </c>
      <c r="J1636" s="668" t="str">
        <f t="shared" si="280"/>
        <v>(b) FICA</v>
      </c>
      <c r="L1636" s="668">
        <v>90</v>
      </c>
      <c r="M1636" s="669">
        <v>85</v>
      </c>
      <c r="N1636" s="668"/>
      <c r="O1636" s="668">
        <v>14</v>
      </c>
      <c r="P1636" s="668" t="str">
        <f>IFERROR(VLOOKUP(F1636, [2]MOE!B:C, 2, FALSE), "No")</f>
        <v>No</v>
      </c>
      <c r="Q1636" s="711" t="s">
        <v>1004</v>
      </c>
      <c r="S1636" s="670" t="s">
        <v>2476</v>
      </c>
      <c r="T1636" s="668" t="s">
        <v>1068</v>
      </c>
    </row>
    <row r="1637" spans="1:20">
      <c r="A1637" s="679">
        <v>2252219</v>
      </c>
      <c r="B1637" s="719"/>
      <c r="C1637" s="681"/>
      <c r="D1637" s="681"/>
      <c r="E1637" s="686" t="s">
        <v>2270</v>
      </c>
      <c r="F1637" s="680" t="s">
        <v>2499</v>
      </c>
      <c r="G1637" s="710">
        <v>225</v>
      </c>
      <c r="H1637" s="682">
        <v>2219</v>
      </c>
      <c r="J1637" s="668" t="str">
        <f t="shared" si="280"/>
        <v>(c) Medicare</v>
      </c>
      <c r="L1637" s="668">
        <v>91</v>
      </c>
      <c r="M1637" s="669">
        <v>86</v>
      </c>
      <c r="N1637" s="668"/>
      <c r="O1637" s="668">
        <v>14</v>
      </c>
      <c r="P1637" s="668" t="str">
        <f>IFERROR(VLOOKUP(F1637, [2]MOE!B:C, 2, FALSE), "No")</f>
        <v>No</v>
      </c>
      <c r="Q1637" s="711" t="s">
        <v>1004</v>
      </c>
      <c r="S1637" s="670" t="s">
        <v>2476</v>
      </c>
      <c r="T1637" s="668" t="s">
        <v>23</v>
      </c>
    </row>
    <row r="1638" spans="1:20">
      <c r="A1638" s="671"/>
      <c r="B1638" s="677"/>
      <c r="C1638" s="672"/>
      <c r="D1638" s="672"/>
      <c r="E1638" s="676" t="s">
        <v>2272</v>
      </c>
      <c r="F1638" s="675"/>
      <c r="G1638" s="672"/>
      <c r="H1638" s="676"/>
      <c r="Q1638" s="711"/>
      <c r="S1638" s="670"/>
    </row>
    <row r="1639" spans="1:20">
      <c r="A1639" s="679">
        <v>2312219</v>
      </c>
      <c r="B1639" s="677"/>
      <c r="C1639" s="672"/>
      <c r="D1639" s="672"/>
      <c r="E1639" s="676" t="s">
        <v>2273</v>
      </c>
      <c r="F1639" s="680" t="s">
        <v>2500</v>
      </c>
      <c r="G1639" s="710">
        <v>231</v>
      </c>
      <c r="H1639" s="682">
        <v>2219</v>
      </c>
      <c r="J1639" s="668" t="str">
        <f t="shared" ref="J1639:J1647" si="281">E1639</f>
        <v>1) Louisiana Teachers Retirement</v>
      </c>
      <c r="L1639" s="668">
        <v>92</v>
      </c>
      <c r="M1639" s="669">
        <v>87</v>
      </c>
      <c r="N1639" s="668"/>
      <c r="O1639" s="668">
        <v>14</v>
      </c>
      <c r="P1639" s="668" t="str">
        <f>IFERROR(VLOOKUP(F1639, [2]MOE!B:C, 2, FALSE), "No")</f>
        <v>No</v>
      </c>
      <c r="Q1639" s="711" t="s">
        <v>1004</v>
      </c>
      <c r="S1639" s="670" t="s">
        <v>2476</v>
      </c>
      <c r="T1639" s="668" t="s">
        <v>1074</v>
      </c>
    </row>
    <row r="1640" spans="1:20">
      <c r="A1640" s="679">
        <v>2332219</v>
      </c>
      <c r="B1640" s="677"/>
      <c r="C1640" s="672"/>
      <c r="D1640" s="672"/>
      <c r="E1640" s="676" t="s">
        <v>2275</v>
      </c>
      <c r="F1640" s="680" t="s">
        <v>2501</v>
      </c>
      <c r="G1640" s="710">
        <v>233</v>
      </c>
      <c r="H1640" s="682">
        <v>2219</v>
      </c>
      <c r="J1640" s="668" t="str">
        <f t="shared" si="281"/>
        <v>2) Louisiana School Emp. Retire.</v>
      </c>
      <c r="L1640" s="668">
        <v>92</v>
      </c>
      <c r="M1640" s="669">
        <v>87</v>
      </c>
      <c r="N1640" s="668"/>
      <c r="O1640" s="668">
        <v>14</v>
      </c>
      <c r="P1640" s="668" t="str">
        <f>IFERROR(VLOOKUP(F1640, [2]MOE!B:C, 2, FALSE), "No")</f>
        <v>No</v>
      </c>
      <c r="Q1640" s="711" t="s">
        <v>1004</v>
      </c>
      <c r="S1640" s="670" t="s">
        <v>2476</v>
      </c>
      <c r="T1640" s="668" t="s">
        <v>2277</v>
      </c>
    </row>
    <row r="1641" spans="1:20">
      <c r="A1641" s="679">
        <v>2392219</v>
      </c>
      <c r="B1641" s="677"/>
      <c r="C1641" s="672"/>
      <c r="D1641" s="672"/>
      <c r="E1641" s="676" t="s">
        <v>2278</v>
      </c>
      <c r="F1641" s="680" t="s">
        <v>2502</v>
      </c>
      <c r="G1641" s="710">
        <v>239</v>
      </c>
      <c r="H1641" s="682">
        <v>2219</v>
      </c>
      <c r="J1641" s="668" t="str">
        <f t="shared" si="281"/>
        <v>3) Other Retirement</v>
      </c>
      <c r="L1641" s="668">
        <v>92</v>
      </c>
      <c r="M1641" s="669">
        <v>87</v>
      </c>
      <c r="N1641" s="668"/>
      <c r="O1641" s="668">
        <v>14</v>
      </c>
      <c r="P1641" s="668" t="str">
        <f>IFERROR(VLOOKUP(F1641, [2]MOE!B:C, 2, FALSE), "No")</f>
        <v>No</v>
      </c>
      <c r="Q1641" s="711" t="s">
        <v>1004</v>
      </c>
      <c r="S1641" s="670" t="s">
        <v>2476</v>
      </c>
      <c r="T1641" s="668" t="s">
        <v>1080</v>
      </c>
    </row>
    <row r="1642" spans="1:20">
      <c r="A1642" s="679">
        <v>2502219</v>
      </c>
      <c r="B1642" s="677"/>
      <c r="C1642" s="672"/>
      <c r="D1642" s="672"/>
      <c r="E1642" s="676" t="s">
        <v>2280</v>
      </c>
      <c r="F1642" s="680" t="s">
        <v>2503</v>
      </c>
      <c r="G1642" s="710">
        <v>250</v>
      </c>
      <c r="H1642" s="682">
        <v>2219</v>
      </c>
      <c r="J1642" s="668" t="str">
        <f t="shared" si="281"/>
        <v>(e) Unemployment Compensation</v>
      </c>
      <c r="L1642" s="668">
        <v>93</v>
      </c>
      <c r="M1642" s="669">
        <v>88</v>
      </c>
      <c r="N1642" s="668"/>
      <c r="O1642" s="668">
        <v>14</v>
      </c>
      <c r="P1642" s="668" t="str">
        <f>IFERROR(VLOOKUP(F1642, [2]MOE!B:C, 2, FALSE), "No")</f>
        <v>No</v>
      </c>
      <c r="Q1642" s="711" t="s">
        <v>1004</v>
      </c>
      <c r="S1642" s="670" t="s">
        <v>2476</v>
      </c>
      <c r="T1642" s="668" t="s">
        <v>1081</v>
      </c>
    </row>
    <row r="1643" spans="1:20">
      <c r="A1643" s="679">
        <v>2602219</v>
      </c>
      <c r="B1643" s="677"/>
      <c r="C1643" s="672"/>
      <c r="D1643" s="672"/>
      <c r="E1643" s="676" t="s">
        <v>2282</v>
      </c>
      <c r="F1643" s="680" t="s">
        <v>2504</v>
      </c>
      <c r="G1643" s="710">
        <v>260</v>
      </c>
      <c r="H1643" s="682">
        <v>2219</v>
      </c>
      <c r="J1643" s="668" t="str">
        <f t="shared" si="281"/>
        <v>(f) Workmen's Compensation</v>
      </c>
      <c r="L1643" s="668">
        <v>95</v>
      </c>
      <c r="M1643" s="669">
        <v>90</v>
      </c>
      <c r="N1643" s="668"/>
      <c r="O1643" s="668">
        <v>14</v>
      </c>
      <c r="P1643" s="668" t="str">
        <f>IFERROR(VLOOKUP(F1643, [2]MOE!B:C, 2, FALSE), "No")</f>
        <v>No</v>
      </c>
      <c r="Q1643" s="711" t="s">
        <v>1004</v>
      </c>
      <c r="S1643" s="670" t="s">
        <v>2476</v>
      </c>
      <c r="T1643" s="668" t="s">
        <v>1083</v>
      </c>
    </row>
    <row r="1644" spans="1:20">
      <c r="A1644" s="679">
        <v>2702219</v>
      </c>
      <c r="B1644" s="677"/>
      <c r="C1644" s="672"/>
      <c r="D1644" s="672"/>
      <c r="E1644" s="676" t="s">
        <v>2284</v>
      </c>
      <c r="F1644" s="680" t="s">
        <v>2505</v>
      </c>
      <c r="G1644" s="710">
        <v>270</v>
      </c>
      <c r="H1644" s="682">
        <v>2219</v>
      </c>
      <c r="J1644" s="668" t="str">
        <f t="shared" si="281"/>
        <v>(g) Health Benefits (retirees)</v>
      </c>
      <c r="L1644" s="668">
        <v>94</v>
      </c>
      <c r="M1644" s="669">
        <v>89</v>
      </c>
      <c r="N1644" s="668"/>
      <c r="O1644" s="668">
        <v>14</v>
      </c>
      <c r="P1644" s="668" t="str">
        <f>IFERROR(VLOOKUP(F1644, [2]MOE!B:C, 2, FALSE), "No")</f>
        <v>No</v>
      </c>
      <c r="Q1644" s="711" t="s">
        <v>1004</v>
      </c>
      <c r="S1644" s="670" t="s">
        <v>2476</v>
      </c>
      <c r="T1644" s="668" t="s">
        <v>1085</v>
      </c>
    </row>
    <row r="1645" spans="1:20">
      <c r="A1645" s="679">
        <v>2812219</v>
      </c>
      <c r="B1645" s="677"/>
      <c r="C1645" s="672"/>
      <c r="D1645" s="672"/>
      <c r="E1645" s="676" t="s">
        <v>2286</v>
      </c>
      <c r="F1645" s="680" t="s">
        <v>2506</v>
      </c>
      <c r="G1645" s="710">
        <v>281</v>
      </c>
      <c r="H1645" s="682">
        <v>2219</v>
      </c>
      <c r="J1645" s="668" t="str">
        <f t="shared" si="281"/>
        <v>(h) Sick Leave Severance Pay</v>
      </c>
      <c r="L1645" s="668">
        <v>95</v>
      </c>
      <c r="M1645" s="669">
        <v>90</v>
      </c>
      <c r="N1645" s="668"/>
      <c r="O1645" s="668">
        <v>14</v>
      </c>
      <c r="P1645" s="668" t="str">
        <f>IFERROR(VLOOKUP(F1645, [2]MOE!B:C, 2, FALSE), "No")</f>
        <v>No</v>
      </c>
      <c r="Q1645" s="711" t="s">
        <v>1004</v>
      </c>
      <c r="S1645" s="670" t="s">
        <v>2476</v>
      </c>
      <c r="T1645" s="668" t="s">
        <v>1087</v>
      </c>
    </row>
    <row r="1646" spans="1:20">
      <c r="A1646" s="679">
        <v>2822219</v>
      </c>
      <c r="B1646" s="677"/>
      <c r="C1646" s="672"/>
      <c r="D1646" s="672"/>
      <c r="E1646" s="676" t="s">
        <v>2288</v>
      </c>
      <c r="F1646" s="680" t="s">
        <v>2507</v>
      </c>
      <c r="G1646" s="710">
        <v>282</v>
      </c>
      <c r="H1646" s="682">
        <v>2219</v>
      </c>
      <c r="J1646" s="668" t="str">
        <f t="shared" si="281"/>
        <v>(i) Annual Leave Severance Pay</v>
      </c>
      <c r="L1646" s="668">
        <v>95</v>
      </c>
      <c r="M1646" s="669">
        <v>90</v>
      </c>
      <c r="N1646" s="668"/>
      <c r="O1646" s="668">
        <v>14</v>
      </c>
      <c r="P1646" s="668" t="str">
        <f>IFERROR(VLOOKUP(F1646, [2]MOE!B:C, 2, FALSE), "No")</f>
        <v>No</v>
      </c>
      <c r="Q1646" s="711" t="s">
        <v>1004</v>
      </c>
      <c r="S1646" s="670" t="s">
        <v>2476</v>
      </c>
      <c r="T1646" s="668" t="s">
        <v>1089</v>
      </c>
    </row>
    <row r="1647" spans="1:20">
      <c r="A1647" s="679">
        <v>2902219</v>
      </c>
      <c r="B1647" s="677"/>
      <c r="C1647" s="672"/>
      <c r="D1647" s="672"/>
      <c r="E1647" s="676" t="s">
        <v>2290</v>
      </c>
      <c r="F1647" s="680" t="s">
        <v>2508</v>
      </c>
      <c r="G1647" s="710">
        <v>290</v>
      </c>
      <c r="H1647" s="682">
        <v>2219</v>
      </c>
      <c r="J1647" s="668" t="str">
        <f t="shared" si="281"/>
        <v>(j) Other Employee Benefits</v>
      </c>
      <c r="L1647" s="668">
        <v>95</v>
      </c>
      <c r="M1647" s="669">
        <v>90</v>
      </c>
      <c r="N1647" s="668"/>
      <c r="O1647" s="668">
        <v>14</v>
      </c>
      <c r="P1647" s="668" t="str">
        <f>IFERROR(VLOOKUP(F1647, [2]MOE!B:C, 2, FALSE), "No")</f>
        <v>No</v>
      </c>
      <c r="Q1647" s="711" t="s">
        <v>1004</v>
      </c>
      <c r="S1647" s="670" t="s">
        <v>2476</v>
      </c>
      <c r="T1647" s="668" t="s">
        <v>1092</v>
      </c>
    </row>
    <row r="1648" spans="1:20">
      <c r="A1648" s="671"/>
      <c r="B1648" s="677"/>
      <c r="C1648" s="678">
        <v>56</v>
      </c>
      <c r="D1648" s="925" t="s">
        <v>2509</v>
      </c>
      <c r="E1648" s="926"/>
      <c r="F1648" s="675"/>
      <c r="G1648" s="672"/>
      <c r="H1648" s="676"/>
      <c r="Q1648" s="711"/>
      <c r="S1648" s="670"/>
    </row>
    <row r="1649" spans="1:20">
      <c r="A1649" s="671"/>
      <c r="B1649" s="677"/>
      <c r="C1649" s="672"/>
      <c r="D1649" s="672" t="s">
        <v>759</v>
      </c>
      <c r="E1649" s="676" t="s">
        <v>2510</v>
      </c>
      <c r="F1649" s="675"/>
      <c r="G1649" s="672"/>
      <c r="H1649" s="676"/>
      <c r="Q1649" s="711"/>
      <c r="S1649" s="670"/>
    </row>
    <row r="1650" spans="1:20">
      <c r="A1650" s="679">
        <v>1112220</v>
      </c>
      <c r="B1650" s="677"/>
      <c r="C1650" s="672"/>
      <c r="D1650" s="672"/>
      <c r="E1650" s="676" t="s">
        <v>2511</v>
      </c>
      <c r="F1650" s="680" t="s">
        <v>2512</v>
      </c>
      <c r="G1650" s="710">
        <v>111</v>
      </c>
      <c r="H1650" s="682">
        <v>2220</v>
      </c>
      <c r="J1650" s="668" t="str">
        <f t="shared" ref="J1650:J1655" si="282">E1650</f>
        <v>(1) Director/Supervisors</v>
      </c>
      <c r="L1650" s="668">
        <v>81</v>
      </c>
      <c r="M1650" s="669">
        <v>76</v>
      </c>
      <c r="N1650" s="668"/>
      <c r="O1650" s="668">
        <v>14</v>
      </c>
      <c r="P1650" s="668" t="str">
        <f>IFERROR(VLOOKUP(F1650, [2]MOE!B:C, 2, FALSE), "No")</f>
        <v>No</v>
      </c>
      <c r="Q1650" s="711" t="s">
        <v>1004</v>
      </c>
      <c r="S1650" s="670" t="s">
        <v>2513</v>
      </c>
      <c r="T1650" s="668" t="s">
        <v>2218</v>
      </c>
    </row>
    <row r="1651" spans="1:20">
      <c r="A1651" s="679">
        <v>1132220</v>
      </c>
      <c r="B1651" s="677"/>
      <c r="C1651" s="672"/>
      <c r="D1651" s="672"/>
      <c r="E1651" s="676" t="s">
        <v>2514</v>
      </c>
      <c r="F1651" s="680" t="s">
        <v>2515</v>
      </c>
      <c r="G1651" s="710">
        <v>113</v>
      </c>
      <c r="H1651" s="682">
        <v>2220</v>
      </c>
      <c r="J1651" s="668" t="str">
        <f t="shared" si="282"/>
        <v>(2) Specialists</v>
      </c>
      <c r="L1651" s="668">
        <v>83</v>
      </c>
      <c r="M1651" s="669">
        <v>78</v>
      </c>
      <c r="N1651" s="668"/>
      <c r="O1651" s="668">
        <v>14</v>
      </c>
      <c r="P1651" s="668" t="str">
        <f>IFERROR(VLOOKUP(F1651, [2]MOE!B:C, 2, FALSE), "No")</f>
        <v>No</v>
      </c>
      <c r="Q1651" s="711" t="s">
        <v>1004</v>
      </c>
      <c r="S1651" s="670" t="s">
        <v>2513</v>
      </c>
      <c r="T1651" s="668" t="s">
        <v>2221</v>
      </c>
    </row>
    <row r="1652" spans="1:20">
      <c r="A1652" s="679">
        <v>1142220</v>
      </c>
      <c r="B1652" s="677"/>
      <c r="C1652" s="672"/>
      <c r="D1652" s="672"/>
      <c r="E1652" s="676" t="s">
        <v>1852</v>
      </c>
      <c r="F1652" s="680" t="s">
        <v>2516</v>
      </c>
      <c r="G1652" s="710">
        <v>114</v>
      </c>
      <c r="H1652" s="682">
        <v>2220</v>
      </c>
      <c r="J1652" s="668" t="str">
        <f t="shared" si="282"/>
        <v>(3) Clerical/Secretarial</v>
      </c>
      <c r="L1652" s="668">
        <v>84</v>
      </c>
      <c r="M1652" s="669">
        <v>79</v>
      </c>
      <c r="N1652" s="668"/>
      <c r="O1652" s="668">
        <v>14</v>
      </c>
      <c r="P1652" s="668" t="str">
        <f>IFERROR(VLOOKUP(F1652, [2]MOE!B:C, 2, FALSE), "No")</f>
        <v>No</v>
      </c>
      <c r="Q1652" s="711" t="s">
        <v>1004</v>
      </c>
      <c r="S1652" s="670" t="s">
        <v>2513</v>
      </c>
      <c r="T1652" s="668" t="s">
        <v>1854</v>
      </c>
    </row>
    <row r="1653" spans="1:20">
      <c r="A1653" s="679">
        <v>1002220</v>
      </c>
      <c r="B1653" s="677"/>
      <c r="C1653" s="672"/>
      <c r="D1653" s="672"/>
      <c r="E1653" s="676" t="s">
        <v>2133</v>
      </c>
      <c r="F1653" s="680" t="s">
        <v>2517</v>
      </c>
      <c r="G1653" s="710">
        <v>100</v>
      </c>
      <c r="H1653" s="682">
        <v>2220</v>
      </c>
      <c r="J1653" s="668" t="str">
        <f t="shared" si="282"/>
        <v>(4) Other Salaries</v>
      </c>
      <c r="L1653" s="668">
        <v>86</v>
      </c>
      <c r="M1653" s="669">
        <v>81</v>
      </c>
      <c r="N1653" s="668"/>
      <c r="O1653" s="668">
        <v>14</v>
      </c>
      <c r="P1653" s="668" t="str">
        <f>IFERROR(VLOOKUP(F1653, [2]MOE!B:C, 2, FALSE), "No")</f>
        <v>No</v>
      </c>
      <c r="Q1653" s="711" t="s">
        <v>1004</v>
      </c>
      <c r="S1653" s="670" t="s">
        <v>2513</v>
      </c>
      <c r="T1653" s="668" t="s">
        <v>1947</v>
      </c>
    </row>
    <row r="1654" spans="1:20">
      <c r="A1654" s="679">
        <v>1402220</v>
      </c>
      <c r="B1654" s="677"/>
      <c r="C1654" s="672"/>
      <c r="D1654" s="672"/>
      <c r="E1654" s="676" t="s">
        <v>1858</v>
      </c>
      <c r="F1654" s="680" t="s">
        <v>2518</v>
      </c>
      <c r="G1654" s="710">
        <v>140</v>
      </c>
      <c r="H1654" s="682">
        <v>2220</v>
      </c>
      <c r="J1654" s="668" t="str">
        <f t="shared" si="282"/>
        <v>(5) Sabbatical Leave</v>
      </c>
      <c r="L1654" s="668">
        <v>86</v>
      </c>
      <c r="M1654" s="669">
        <v>81</v>
      </c>
      <c r="N1654" s="668"/>
      <c r="O1654" s="668">
        <v>14</v>
      </c>
      <c r="P1654" s="668" t="str">
        <f>IFERROR(VLOOKUP(F1654, [2]MOE!B:C, 2, FALSE), "No")</f>
        <v>No</v>
      </c>
      <c r="Q1654" s="711" t="s">
        <v>1004</v>
      </c>
      <c r="S1654" s="670" t="s">
        <v>2513</v>
      </c>
      <c r="T1654" s="668" t="s">
        <v>1019</v>
      </c>
    </row>
    <row r="1655" spans="1:20">
      <c r="A1655" s="679">
        <v>3002220</v>
      </c>
      <c r="B1655" s="677"/>
      <c r="C1655" s="672"/>
      <c r="D1655" s="672" t="s">
        <v>777</v>
      </c>
      <c r="E1655" s="676" t="s">
        <v>1113</v>
      </c>
      <c r="F1655" s="680" t="s">
        <v>2519</v>
      </c>
      <c r="G1655" s="710">
        <v>300</v>
      </c>
      <c r="H1655" s="682">
        <v>2220</v>
      </c>
      <c r="J1655" s="668" t="str">
        <f t="shared" si="282"/>
        <v>Purchased Professional and Technical Svcs</v>
      </c>
      <c r="L1655" s="668">
        <v>101</v>
      </c>
      <c r="M1655" s="669">
        <v>96</v>
      </c>
      <c r="N1655" s="668"/>
      <c r="O1655" s="668">
        <v>14</v>
      </c>
      <c r="P1655" s="668" t="str">
        <f>IFERROR(VLOOKUP(F1655, [2]MOE!B:C, 2, FALSE), "No")</f>
        <v>No</v>
      </c>
      <c r="Q1655" s="711"/>
      <c r="S1655" s="670" t="s">
        <v>2513</v>
      </c>
      <c r="T1655" s="668" t="s">
        <v>1113</v>
      </c>
    </row>
    <row r="1656" spans="1:20">
      <c r="A1656" s="671"/>
      <c r="B1656" s="677"/>
      <c r="C1656" s="672"/>
      <c r="D1656" s="672" t="s">
        <v>801</v>
      </c>
      <c r="E1656" s="676" t="s">
        <v>250</v>
      </c>
      <c r="F1656" s="675"/>
      <c r="G1656" s="672"/>
      <c r="H1656" s="676"/>
      <c r="Q1656" s="711"/>
      <c r="S1656" s="670"/>
    </row>
    <row r="1657" spans="1:20">
      <c r="A1657" s="679">
        <v>4302220</v>
      </c>
      <c r="B1657" s="677"/>
      <c r="C1657" s="672"/>
      <c r="D1657" s="672"/>
      <c r="E1657" s="676" t="s">
        <v>1115</v>
      </c>
      <c r="F1657" s="680" t="s">
        <v>2520</v>
      </c>
      <c r="G1657" s="710">
        <v>430</v>
      </c>
      <c r="H1657" s="682">
        <v>2220</v>
      </c>
      <c r="J1657" s="668" t="str">
        <f t="shared" ref="J1657:J1659" si="283">E1657</f>
        <v>(1) Repairs and Maintenance Services</v>
      </c>
      <c r="L1657" s="668">
        <v>107</v>
      </c>
      <c r="M1657" s="669">
        <v>102</v>
      </c>
      <c r="N1657" s="668"/>
      <c r="O1657" s="668">
        <v>14</v>
      </c>
      <c r="P1657" s="668" t="str">
        <f>IFERROR(VLOOKUP(F1657, [2]MOE!B:C, 2, FALSE), "No")</f>
        <v>No</v>
      </c>
      <c r="Q1657" s="711"/>
      <c r="S1657" s="670" t="s">
        <v>2513</v>
      </c>
      <c r="T1657" s="668" t="s">
        <v>1023</v>
      </c>
    </row>
    <row r="1658" spans="1:20">
      <c r="A1658" s="679">
        <v>4422220</v>
      </c>
      <c r="B1658" s="677"/>
      <c r="C1658" s="672"/>
      <c r="D1658" s="672"/>
      <c r="E1658" s="676" t="s">
        <v>1117</v>
      </c>
      <c r="F1658" s="680" t="s">
        <v>2521</v>
      </c>
      <c r="G1658" s="710">
        <v>442</v>
      </c>
      <c r="H1658" s="682">
        <v>2220</v>
      </c>
      <c r="J1658" s="668" t="str">
        <f t="shared" si="283"/>
        <v>(2) Rental of Equipment</v>
      </c>
      <c r="L1658" s="668">
        <v>106</v>
      </c>
      <c r="M1658" s="669">
        <v>101</v>
      </c>
      <c r="N1658" s="668"/>
      <c r="O1658" s="668">
        <v>14</v>
      </c>
      <c r="P1658" s="668" t="str">
        <f>IFERROR(VLOOKUP(F1658, [2]MOE!B:C, 2, FALSE), "No")</f>
        <v>No</v>
      </c>
      <c r="Q1658" s="711"/>
      <c r="S1658" s="670" t="s">
        <v>2513</v>
      </c>
      <c r="T1658" s="668" t="s">
        <v>1025</v>
      </c>
    </row>
    <row r="1659" spans="1:20">
      <c r="A1659" s="679">
        <v>4002220</v>
      </c>
      <c r="B1659" s="677"/>
      <c r="C1659" s="672"/>
      <c r="D1659" s="672"/>
      <c r="E1659" s="676" t="s">
        <v>1119</v>
      </c>
      <c r="F1659" s="680" t="s">
        <v>2522</v>
      </c>
      <c r="G1659" s="710">
        <v>400</v>
      </c>
      <c r="H1659" s="682">
        <v>2220</v>
      </c>
      <c r="J1659" s="668" t="str">
        <f t="shared" si="283"/>
        <v>(3) Other Purchased Property Services</v>
      </c>
      <c r="L1659" s="668">
        <v>108</v>
      </c>
      <c r="M1659" s="669">
        <v>103</v>
      </c>
      <c r="N1659" s="668"/>
      <c r="O1659" s="668">
        <v>14</v>
      </c>
      <c r="P1659" s="668" t="str">
        <f>IFERROR(VLOOKUP(F1659, [2]MOE!B:C, 2, FALSE), "No")</f>
        <v>No</v>
      </c>
      <c r="Q1659" s="711"/>
      <c r="S1659" s="670" t="s">
        <v>2513</v>
      </c>
      <c r="T1659" s="668" t="s">
        <v>1027</v>
      </c>
    </row>
    <row r="1660" spans="1:20">
      <c r="A1660" s="671"/>
      <c r="B1660" s="677"/>
      <c r="C1660" s="672"/>
      <c r="D1660" s="672" t="s">
        <v>805</v>
      </c>
      <c r="E1660" s="676" t="s">
        <v>252</v>
      </c>
      <c r="F1660" s="675"/>
      <c r="G1660" s="672"/>
      <c r="H1660" s="676"/>
      <c r="Q1660" s="711"/>
      <c r="S1660" s="670"/>
    </row>
    <row r="1661" spans="1:20">
      <c r="A1661" s="679">
        <v>5822220</v>
      </c>
      <c r="B1661" s="677"/>
      <c r="C1661" s="672"/>
      <c r="D1661" s="672"/>
      <c r="E1661" s="676" t="s">
        <v>1864</v>
      </c>
      <c r="F1661" s="680" t="s">
        <v>2523</v>
      </c>
      <c r="G1661" s="710">
        <v>582</v>
      </c>
      <c r="H1661" s="682">
        <v>2220</v>
      </c>
      <c r="J1661" s="668" t="str">
        <f t="shared" ref="J1661:J1662" si="284">E1661</f>
        <v>(1) Travel Expense Reimbursement</v>
      </c>
      <c r="L1661" s="668">
        <v>118</v>
      </c>
      <c r="M1661" s="669">
        <v>109</v>
      </c>
      <c r="N1661" s="668"/>
      <c r="O1661" s="668">
        <v>14</v>
      </c>
      <c r="P1661" s="668" t="str">
        <f>IFERROR(VLOOKUP(F1661, [2]MOE!B:C, 2, FALSE), "No")</f>
        <v>No</v>
      </c>
      <c r="Q1661" s="711"/>
      <c r="S1661" s="670" t="s">
        <v>2513</v>
      </c>
      <c r="T1661" s="668" t="s">
        <v>1039</v>
      </c>
    </row>
    <row r="1662" spans="1:20">
      <c r="A1662" s="679">
        <v>5002220</v>
      </c>
      <c r="B1662" s="677"/>
      <c r="C1662" s="672"/>
      <c r="D1662" s="672"/>
      <c r="E1662" s="676" t="s">
        <v>1866</v>
      </c>
      <c r="F1662" s="680" t="s">
        <v>2524</v>
      </c>
      <c r="G1662" s="710">
        <v>500</v>
      </c>
      <c r="H1662" s="682">
        <v>2220</v>
      </c>
      <c r="J1662" s="668" t="str">
        <f t="shared" si="284"/>
        <v>(2) Other Purchased Services</v>
      </c>
      <c r="L1662" s="668">
        <v>119</v>
      </c>
      <c r="M1662" s="669">
        <v>110</v>
      </c>
      <c r="N1662" s="668"/>
      <c r="O1662" s="668">
        <v>14</v>
      </c>
      <c r="P1662" s="668" t="str">
        <f>IFERROR(VLOOKUP(F1662, [2]MOE!B:C, 2, FALSE), "No")</f>
        <v>No</v>
      </c>
      <c r="Q1662" s="711"/>
      <c r="S1662" s="670" t="s">
        <v>2513</v>
      </c>
      <c r="T1662" s="668" t="s">
        <v>252</v>
      </c>
    </row>
    <row r="1663" spans="1:20">
      <c r="A1663" s="671"/>
      <c r="B1663" s="677"/>
      <c r="C1663" s="672"/>
      <c r="D1663" s="672" t="s">
        <v>850</v>
      </c>
      <c r="E1663" s="676" t="s">
        <v>254</v>
      </c>
      <c r="F1663" s="675"/>
      <c r="G1663" s="672"/>
      <c r="H1663" s="676"/>
      <c r="Q1663" s="711"/>
      <c r="S1663" s="670"/>
    </row>
    <row r="1664" spans="1:20">
      <c r="A1664" s="679">
        <v>6152220</v>
      </c>
      <c r="B1664" s="677"/>
      <c r="C1664" s="672"/>
      <c r="D1664" s="672"/>
      <c r="E1664" s="676" t="s">
        <v>1139</v>
      </c>
      <c r="F1664" s="680" t="s">
        <v>2525</v>
      </c>
      <c r="G1664" s="710">
        <v>615</v>
      </c>
      <c r="H1664" s="682">
        <v>2220</v>
      </c>
      <c r="J1664" s="668" t="str">
        <f t="shared" ref="J1664:J1667" si="285">E1664</f>
        <v>(1) Technology-Related Supplies</v>
      </c>
      <c r="L1664" s="668">
        <v>126</v>
      </c>
      <c r="M1664" s="669">
        <v>117</v>
      </c>
      <c r="N1664" s="668"/>
      <c r="O1664" s="668">
        <v>14</v>
      </c>
      <c r="P1664" s="668" t="str">
        <f>IFERROR(VLOOKUP(F1664, [2]MOE!B:C, 2, FALSE), "No")</f>
        <v>No</v>
      </c>
      <c r="Q1664" s="711" t="s">
        <v>1045</v>
      </c>
      <c r="S1664" s="670" t="s">
        <v>2513</v>
      </c>
      <c r="T1664" s="668" t="s">
        <v>1043</v>
      </c>
    </row>
    <row r="1665" spans="1:20">
      <c r="A1665" s="679">
        <v>6102220</v>
      </c>
      <c r="B1665" s="677"/>
      <c r="C1665" s="672"/>
      <c r="D1665" s="672"/>
      <c r="E1665" s="676" t="s">
        <v>1141</v>
      </c>
      <c r="F1665" s="680" t="s">
        <v>2526</v>
      </c>
      <c r="G1665" s="710">
        <v>610</v>
      </c>
      <c r="H1665" s="682">
        <v>2220</v>
      </c>
      <c r="J1665" s="668" t="str">
        <f t="shared" si="285"/>
        <v>(2) Materials and Supplies</v>
      </c>
      <c r="L1665" s="668">
        <v>122</v>
      </c>
      <c r="M1665" s="669">
        <v>113</v>
      </c>
      <c r="N1665" s="668"/>
      <c r="O1665" s="668">
        <v>14</v>
      </c>
      <c r="P1665" s="668" t="str">
        <f>IFERROR(VLOOKUP(F1665, [2]MOE!B:C, 2, FALSE), "No")</f>
        <v>No</v>
      </c>
      <c r="Q1665" s="711" t="s">
        <v>1045</v>
      </c>
      <c r="S1665" s="670" t="s">
        <v>2513</v>
      </c>
      <c r="T1665" s="668" t="s">
        <v>39</v>
      </c>
    </row>
    <row r="1666" spans="1:20">
      <c r="A1666" s="679">
        <v>6402220</v>
      </c>
      <c r="B1666" s="677"/>
      <c r="C1666" s="672"/>
      <c r="D1666" s="672"/>
      <c r="E1666" s="676" t="s">
        <v>2527</v>
      </c>
      <c r="F1666" s="680" t="s">
        <v>2528</v>
      </c>
      <c r="G1666" s="710">
        <v>640</v>
      </c>
      <c r="H1666" s="682">
        <v>2220</v>
      </c>
      <c r="J1666" s="668" t="str">
        <f t="shared" si="285"/>
        <v>(3) Books and Periodicals</v>
      </c>
      <c r="L1666" s="668">
        <v>125</v>
      </c>
      <c r="M1666" s="669">
        <v>116</v>
      </c>
      <c r="N1666" s="668"/>
      <c r="O1666" s="668">
        <v>14</v>
      </c>
      <c r="P1666" s="668" t="str">
        <f>IFERROR(VLOOKUP(F1666, [2]MOE!B:C, 2, FALSE), "No")</f>
        <v>No</v>
      </c>
      <c r="Q1666" s="711" t="s">
        <v>1045</v>
      </c>
      <c r="S1666" s="670" t="s">
        <v>2513</v>
      </c>
      <c r="T1666" s="668" t="s">
        <v>2529</v>
      </c>
    </row>
    <row r="1667" spans="1:20">
      <c r="A1667" s="679">
        <v>6002220</v>
      </c>
      <c r="B1667" s="677"/>
      <c r="C1667" s="672"/>
      <c r="D1667" s="672"/>
      <c r="E1667" s="676" t="s">
        <v>1145</v>
      </c>
      <c r="F1667" s="680" t="s">
        <v>2530</v>
      </c>
      <c r="G1667" s="710">
        <v>600</v>
      </c>
      <c r="H1667" s="682">
        <v>2220</v>
      </c>
      <c r="J1667" s="668" t="str">
        <f t="shared" si="285"/>
        <v>(4) Other Supplies</v>
      </c>
      <c r="L1667" s="668">
        <v>126</v>
      </c>
      <c r="M1667" s="669">
        <v>117</v>
      </c>
      <c r="N1667" s="668"/>
      <c r="O1667" s="668">
        <v>14</v>
      </c>
      <c r="P1667" s="668" t="str">
        <f>IFERROR(VLOOKUP(F1667, [2]MOE!B:C, 2, FALSE), "No")</f>
        <v>No</v>
      </c>
      <c r="Q1667" s="711"/>
      <c r="S1667" s="670" t="s">
        <v>2513</v>
      </c>
      <c r="T1667" s="668" t="s">
        <v>1050</v>
      </c>
    </row>
    <row r="1668" spans="1:20">
      <c r="A1668" s="671"/>
      <c r="B1668" s="677"/>
      <c r="C1668" s="672"/>
      <c r="D1668" s="672" t="s">
        <v>853</v>
      </c>
      <c r="E1668" s="676" t="s">
        <v>1052</v>
      </c>
      <c r="F1668" s="675"/>
      <c r="G1668" s="672"/>
      <c r="H1668" s="676"/>
      <c r="Q1668" s="711"/>
      <c r="S1668" s="670"/>
    </row>
    <row r="1669" spans="1:20">
      <c r="A1669" s="679">
        <v>7342220</v>
      </c>
      <c r="B1669" s="677"/>
      <c r="C1669" s="672"/>
      <c r="D1669" s="672"/>
      <c r="E1669" s="676" t="s">
        <v>1147</v>
      </c>
      <c r="F1669" s="680" t="s">
        <v>2531</v>
      </c>
      <c r="G1669" s="710">
        <v>734</v>
      </c>
      <c r="H1669" s="682">
        <v>2220</v>
      </c>
      <c r="J1669" s="668" t="str">
        <f t="shared" ref="J1669:J1672" si="286">E1669</f>
        <v>(1) Technology-Related Hardware</v>
      </c>
      <c r="L1669" s="668">
        <v>131</v>
      </c>
      <c r="M1669" s="669">
        <v>122</v>
      </c>
      <c r="N1669" s="668"/>
      <c r="O1669" s="668">
        <v>14</v>
      </c>
      <c r="P1669" s="668" t="str">
        <f>IFERROR(VLOOKUP(F1669, [2]MOE!B:C, 2, FALSE), "No")</f>
        <v>No</v>
      </c>
      <c r="Q1669" s="711"/>
      <c r="S1669" s="670" t="s">
        <v>2513</v>
      </c>
      <c r="T1669" s="668" t="s">
        <v>1053</v>
      </c>
    </row>
    <row r="1670" spans="1:20">
      <c r="A1670" s="679">
        <v>7352220</v>
      </c>
      <c r="B1670" s="677"/>
      <c r="C1670" s="672"/>
      <c r="D1670" s="672"/>
      <c r="E1670" s="676" t="s">
        <v>1149</v>
      </c>
      <c r="F1670" s="680" t="s">
        <v>2532</v>
      </c>
      <c r="G1670" s="710">
        <v>735</v>
      </c>
      <c r="H1670" s="682">
        <v>2220</v>
      </c>
      <c r="J1670" s="668" t="str">
        <f t="shared" si="286"/>
        <v>(2) Technology Software</v>
      </c>
      <c r="L1670" s="668">
        <v>131</v>
      </c>
      <c r="M1670" s="669">
        <v>122</v>
      </c>
      <c r="N1670" s="668"/>
      <c r="O1670" s="668">
        <v>14</v>
      </c>
      <c r="P1670" s="668" t="str">
        <f>IFERROR(VLOOKUP(F1670, [2]MOE!B:C, 2, FALSE), "No")</f>
        <v>No</v>
      </c>
      <c r="Q1670" s="711"/>
      <c r="S1670" s="670" t="s">
        <v>2513</v>
      </c>
      <c r="T1670" s="668" t="s">
        <v>1055</v>
      </c>
    </row>
    <row r="1671" spans="1:20">
      <c r="A1671" s="679">
        <v>7302220</v>
      </c>
      <c r="B1671" s="677"/>
      <c r="C1671" s="672"/>
      <c r="D1671" s="672"/>
      <c r="E1671" s="676" t="s">
        <v>1151</v>
      </c>
      <c r="F1671" s="680" t="s">
        <v>2533</v>
      </c>
      <c r="G1671" s="710">
        <v>730</v>
      </c>
      <c r="H1671" s="682">
        <v>2220</v>
      </c>
      <c r="J1671" s="668" t="str">
        <f t="shared" si="286"/>
        <v>(3) All Other Equipment</v>
      </c>
      <c r="L1671" s="668">
        <v>131</v>
      </c>
      <c r="M1671" s="669">
        <v>122</v>
      </c>
      <c r="N1671" s="668"/>
      <c r="O1671" s="668">
        <v>14</v>
      </c>
      <c r="P1671" s="668" t="str">
        <f>IFERROR(VLOOKUP(F1671, [2]MOE!B:C, 2, FALSE), "No")</f>
        <v>No</v>
      </c>
      <c r="Q1671" s="711"/>
      <c r="S1671" s="670" t="s">
        <v>2513</v>
      </c>
      <c r="T1671" s="668" t="s">
        <v>1057</v>
      </c>
    </row>
    <row r="1672" spans="1:20">
      <c r="A1672" s="679">
        <v>7002220</v>
      </c>
      <c r="B1672" s="677"/>
      <c r="C1672" s="672"/>
      <c r="D1672" s="672"/>
      <c r="E1672" s="676" t="s">
        <v>1153</v>
      </c>
      <c r="F1672" s="680" t="s">
        <v>2534</v>
      </c>
      <c r="G1672" s="710">
        <v>700</v>
      </c>
      <c r="H1672" s="682">
        <v>2220</v>
      </c>
      <c r="J1672" s="668" t="str">
        <f t="shared" si="286"/>
        <v>(4) Other Property</v>
      </c>
      <c r="L1672" s="668">
        <v>132</v>
      </c>
      <c r="M1672" s="669">
        <v>123</v>
      </c>
      <c r="N1672" s="668"/>
      <c r="O1672" s="668">
        <v>14</v>
      </c>
      <c r="P1672" s="668" t="str">
        <f>IFERROR(VLOOKUP(F1672, [2]MOE!B:C, 2, FALSE), "No")</f>
        <v>No</v>
      </c>
      <c r="Q1672" s="711"/>
      <c r="S1672" s="670" t="s">
        <v>2513</v>
      </c>
      <c r="T1672" s="668" t="s">
        <v>1059</v>
      </c>
    </row>
    <row r="1673" spans="1:20">
      <c r="A1673" s="671"/>
      <c r="B1673" s="677"/>
      <c r="C1673" s="672"/>
      <c r="D1673" s="672" t="s">
        <v>856</v>
      </c>
      <c r="E1673" s="676" t="s">
        <v>256</v>
      </c>
      <c r="F1673" s="675"/>
      <c r="G1673" s="672"/>
      <c r="H1673" s="676"/>
      <c r="Q1673" s="711"/>
      <c r="S1673" s="670"/>
    </row>
    <row r="1674" spans="1:20">
      <c r="A1674" s="679">
        <v>8952220</v>
      </c>
      <c r="B1674" s="677"/>
      <c r="C1674" s="672"/>
      <c r="D1674" s="672"/>
      <c r="E1674" s="676" t="s">
        <v>1155</v>
      </c>
      <c r="F1674" s="680" t="s">
        <v>2535</v>
      </c>
      <c r="G1674" s="710">
        <v>895</v>
      </c>
      <c r="H1674" s="682">
        <v>2220</v>
      </c>
      <c r="J1674" s="668" t="str">
        <f t="shared" ref="J1674:J1675" si="287">E1674</f>
        <v>(1) Miscellaneous Non-Public Expenditures</v>
      </c>
      <c r="L1674" s="668">
        <v>139</v>
      </c>
      <c r="M1674" s="669">
        <v>129</v>
      </c>
      <c r="N1674" s="668"/>
      <c r="O1674" s="668">
        <v>14</v>
      </c>
      <c r="P1674" s="668" t="str">
        <f>IFERROR(VLOOKUP(F1674, [2]MOE!B:C, 2, FALSE), "No")</f>
        <v>No</v>
      </c>
      <c r="Q1674" s="711"/>
      <c r="S1674" s="670" t="s">
        <v>2513</v>
      </c>
      <c r="T1674" s="668" t="s">
        <v>1061</v>
      </c>
    </row>
    <row r="1675" spans="1:20">
      <c r="A1675" s="679">
        <v>8002220</v>
      </c>
      <c r="B1675" s="677"/>
      <c r="C1675" s="672"/>
      <c r="D1675" s="672"/>
      <c r="E1675" s="676" t="s">
        <v>1157</v>
      </c>
      <c r="F1675" s="680" t="s">
        <v>2536</v>
      </c>
      <c r="G1675" s="710">
        <v>800</v>
      </c>
      <c r="H1675" s="682">
        <v>2220</v>
      </c>
      <c r="J1675" s="668" t="str">
        <f t="shared" si="287"/>
        <v>(2) Other Miscellaneous Expenditures</v>
      </c>
      <c r="L1675" s="668">
        <v>139</v>
      </c>
      <c r="M1675" s="669">
        <v>129</v>
      </c>
      <c r="N1675" s="668"/>
      <c r="O1675" s="668">
        <v>14</v>
      </c>
      <c r="P1675" s="668" t="str">
        <f>IFERROR(VLOOKUP(F1675, [2]MOE!B:C, 2, FALSE), "No")</f>
        <v>No</v>
      </c>
      <c r="Q1675" s="711"/>
      <c r="S1675" s="670" t="s">
        <v>2513</v>
      </c>
      <c r="T1675" s="668" t="s">
        <v>1063</v>
      </c>
    </row>
    <row r="1676" spans="1:20">
      <c r="A1676" s="671"/>
      <c r="B1676" s="677"/>
      <c r="C1676" s="672"/>
      <c r="D1676" s="672" t="s">
        <v>859</v>
      </c>
      <c r="E1676" s="676" t="s">
        <v>1065</v>
      </c>
      <c r="F1676" s="675"/>
      <c r="G1676" s="672"/>
      <c r="H1676" s="676"/>
      <c r="Q1676" s="711"/>
      <c r="S1676" s="670"/>
    </row>
    <row r="1677" spans="1:20">
      <c r="A1677" s="679">
        <v>2102220</v>
      </c>
      <c r="B1677" s="677"/>
      <c r="C1677" s="672"/>
      <c r="D1677" s="672"/>
      <c r="E1677" s="676" t="s">
        <v>1159</v>
      </c>
      <c r="F1677" s="680" t="s">
        <v>2537</v>
      </c>
      <c r="G1677" s="710">
        <v>210</v>
      </c>
      <c r="H1677" s="682">
        <v>2220</v>
      </c>
      <c r="J1677" s="668" t="str">
        <f t="shared" ref="J1677:J1679" si="288">E1677</f>
        <v>(1) Group Insurance</v>
      </c>
      <c r="L1677" s="668">
        <v>89</v>
      </c>
      <c r="M1677" s="669">
        <v>84</v>
      </c>
      <c r="N1677" s="668"/>
      <c r="O1677" s="668">
        <v>14</v>
      </c>
      <c r="P1677" s="668" t="str">
        <f>IFERROR(VLOOKUP(F1677, [2]MOE!B:C, 2, FALSE), "No")</f>
        <v>No</v>
      </c>
      <c r="Q1677" s="711" t="s">
        <v>1004</v>
      </c>
      <c r="S1677" s="670" t="s">
        <v>2513</v>
      </c>
      <c r="T1677" s="668" t="s">
        <v>1066</v>
      </c>
    </row>
    <row r="1678" spans="1:20">
      <c r="A1678" s="679">
        <v>2202220</v>
      </c>
      <c r="B1678" s="677"/>
      <c r="C1678" s="672"/>
      <c r="D1678" s="672"/>
      <c r="E1678" s="676" t="s">
        <v>1161</v>
      </c>
      <c r="F1678" s="680" t="s">
        <v>2538</v>
      </c>
      <c r="G1678" s="710">
        <v>220</v>
      </c>
      <c r="H1678" s="682">
        <v>2220</v>
      </c>
      <c r="J1678" s="668" t="str">
        <f t="shared" si="288"/>
        <v>(2) FICA</v>
      </c>
      <c r="L1678" s="668">
        <v>90</v>
      </c>
      <c r="M1678" s="669">
        <v>85</v>
      </c>
      <c r="N1678" s="668"/>
      <c r="O1678" s="668">
        <v>14</v>
      </c>
      <c r="P1678" s="668" t="str">
        <f>IFERROR(VLOOKUP(F1678, [2]MOE!B:C, 2, FALSE), "No")</f>
        <v>No</v>
      </c>
      <c r="Q1678" s="711" t="s">
        <v>1004</v>
      </c>
      <c r="S1678" s="670" t="s">
        <v>2513</v>
      </c>
      <c r="T1678" s="668" t="s">
        <v>1068</v>
      </c>
    </row>
    <row r="1679" spans="1:20">
      <c r="A1679" s="679">
        <v>2252220</v>
      </c>
      <c r="B1679" s="677"/>
      <c r="C1679" s="672"/>
      <c r="D1679" s="672"/>
      <c r="E1679" s="676" t="s">
        <v>1163</v>
      </c>
      <c r="F1679" s="680" t="s">
        <v>2539</v>
      </c>
      <c r="G1679" s="710">
        <v>225</v>
      </c>
      <c r="H1679" s="682">
        <v>2220</v>
      </c>
      <c r="J1679" s="668" t="str">
        <f t="shared" si="288"/>
        <v>(3) Medicare</v>
      </c>
      <c r="L1679" s="668">
        <v>91</v>
      </c>
      <c r="M1679" s="669">
        <v>86</v>
      </c>
      <c r="N1679" s="668"/>
      <c r="O1679" s="668">
        <v>14</v>
      </c>
      <c r="P1679" s="668" t="str">
        <f>IFERROR(VLOOKUP(F1679, [2]MOE!B:C, 2, FALSE), "No")</f>
        <v>No</v>
      </c>
      <c r="Q1679" s="711" t="s">
        <v>1004</v>
      </c>
      <c r="S1679" s="670" t="s">
        <v>2513</v>
      </c>
      <c r="T1679" s="668" t="s">
        <v>23</v>
      </c>
    </row>
    <row r="1680" spans="1:20">
      <c r="A1680" s="671"/>
      <c r="B1680" s="677"/>
      <c r="C1680" s="672"/>
      <c r="D1680" s="672"/>
      <c r="E1680" s="676" t="s">
        <v>1165</v>
      </c>
      <c r="F1680" s="675"/>
      <c r="G1680" s="672"/>
      <c r="H1680" s="676"/>
      <c r="Q1680" s="711"/>
      <c r="S1680" s="670"/>
    </row>
    <row r="1681" spans="1:20">
      <c r="A1681" s="679">
        <v>2312220</v>
      </c>
      <c r="B1681" s="677"/>
      <c r="C1681" s="672"/>
      <c r="D1681" s="672"/>
      <c r="E1681" s="676" t="s">
        <v>1166</v>
      </c>
      <c r="F1681" s="680" t="s">
        <v>2540</v>
      </c>
      <c r="G1681" s="710">
        <v>231</v>
      </c>
      <c r="H1681" s="682">
        <v>2220</v>
      </c>
      <c r="J1681" s="668" t="str">
        <f t="shared" ref="J1681:J1689" si="289">E1681</f>
        <v>(a) Louisiana Teachers Retirement</v>
      </c>
      <c r="L1681" s="668">
        <v>92</v>
      </c>
      <c r="M1681" s="669">
        <v>87</v>
      </c>
      <c r="N1681" s="668"/>
      <c r="O1681" s="668">
        <v>14</v>
      </c>
      <c r="P1681" s="668" t="str">
        <f>IFERROR(VLOOKUP(F1681, [2]MOE!B:C, 2, FALSE), "No")</f>
        <v>No</v>
      </c>
      <c r="Q1681" s="711" t="s">
        <v>1004</v>
      </c>
      <c r="S1681" s="670" t="s">
        <v>2513</v>
      </c>
      <c r="T1681" s="668" t="s">
        <v>1074</v>
      </c>
    </row>
    <row r="1682" spans="1:20">
      <c r="A1682" s="679">
        <v>2332220</v>
      </c>
      <c r="B1682" s="677"/>
      <c r="C1682" s="672"/>
      <c r="D1682" s="672"/>
      <c r="E1682" s="676" t="s">
        <v>1168</v>
      </c>
      <c r="F1682" s="680" t="s">
        <v>2541</v>
      </c>
      <c r="G1682" s="710">
        <v>233</v>
      </c>
      <c r="H1682" s="682">
        <v>2220</v>
      </c>
      <c r="J1682" s="668" t="str">
        <f t="shared" si="289"/>
        <v>(b) Louisiana School Emp. Retirement</v>
      </c>
      <c r="L1682" s="668">
        <v>92</v>
      </c>
      <c r="M1682" s="669">
        <v>87</v>
      </c>
      <c r="N1682" s="668"/>
      <c r="O1682" s="668">
        <v>14</v>
      </c>
      <c r="P1682" s="668" t="str">
        <f>IFERROR(VLOOKUP(F1682, [2]MOE!B:C, 2, FALSE), "No")</f>
        <v>No</v>
      </c>
      <c r="Q1682" s="711" t="s">
        <v>1004</v>
      </c>
      <c r="S1682" s="670" t="s">
        <v>2513</v>
      </c>
      <c r="T1682" s="668" t="s">
        <v>1170</v>
      </c>
    </row>
    <row r="1683" spans="1:20">
      <c r="A1683" s="679">
        <v>2392220</v>
      </c>
      <c r="B1683" s="677"/>
      <c r="C1683" s="672"/>
      <c r="D1683" s="672"/>
      <c r="E1683" s="676" t="s">
        <v>1171</v>
      </c>
      <c r="F1683" s="680" t="s">
        <v>2542</v>
      </c>
      <c r="G1683" s="710">
        <v>239</v>
      </c>
      <c r="H1683" s="682">
        <v>2220</v>
      </c>
      <c r="J1683" s="668" t="str">
        <f t="shared" si="289"/>
        <v>(c) Other Retirement</v>
      </c>
      <c r="L1683" s="668">
        <v>92</v>
      </c>
      <c r="M1683" s="669">
        <v>87</v>
      </c>
      <c r="N1683" s="668"/>
      <c r="O1683" s="668">
        <v>14</v>
      </c>
      <c r="P1683" s="668" t="str">
        <f>IFERROR(VLOOKUP(F1683, [2]MOE!B:C, 2, FALSE), "No")</f>
        <v>No</v>
      </c>
      <c r="Q1683" s="711" t="s">
        <v>1004</v>
      </c>
      <c r="S1683" s="670" t="s">
        <v>2513</v>
      </c>
      <c r="T1683" s="668" t="s">
        <v>1080</v>
      </c>
    </row>
    <row r="1684" spans="1:20">
      <c r="A1684" s="679">
        <v>2502220</v>
      </c>
      <c r="B1684" s="677"/>
      <c r="C1684" s="672"/>
      <c r="D1684" s="672"/>
      <c r="E1684" s="676" t="s">
        <v>1173</v>
      </c>
      <c r="F1684" s="680" t="s">
        <v>2543</v>
      </c>
      <c r="G1684" s="710">
        <v>250</v>
      </c>
      <c r="H1684" s="682">
        <v>2220</v>
      </c>
      <c r="J1684" s="668" t="str">
        <f t="shared" si="289"/>
        <v>(5) Unemployment Compensation</v>
      </c>
      <c r="L1684" s="668">
        <v>93</v>
      </c>
      <c r="M1684" s="669">
        <v>88</v>
      </c>
      <c r="N1684" s="668"/>
      <c r="O1684" s="668">
        <v>14</v>
      </c>
      <c r="P1684" s="668" t="str">
        <f>IFERROR(VLOOKUP(F1684, [2]MOE!B:C, 2, FALSE), "No")</f>
        <v>No</v>
      </c>
      <c r="Q1684" s="711" t="s">
        <v>1004</v>
      </c>
      <c r="S1684" s="670" t="s">
        <v>2513</v>
      </c>
      <c r="T1684" s="668" t="s">
        <v>1081</v>
      </c>
    </row>
    <row r="1685" spans="1:20">
      <c r="A1685" s="679">
        <v>2602220</v>
      </c>
      <c r="B1685" s="677"/>
      <c r="C1685" s="672"/>
      <c r="D1685" s="672"/>
      <c r="E1685" s="676" t="s">
        <v>1175</v>
      </c>
      <c r="F1685" s="680" t="s">
        <v>2544</v>
      </c>
      <c r="G1685" s="710">
        <v>260</v>
      </c>
      <c r="H1685" s="682">
        <v>2220</v>
      </c>
      <c r="J1685" s="668" t="str">
        <f t="shared" si="289"/>
        <v>(6) Workmen's Compensation</v>
      </c>
      <c r="L1685" s="668">
        <v>95</v>
      </c>
      <c r="M1685" s="669">
        <v>90</v>
      </c>
      <c r="N1685" s="668"/>
      <c r="O1685" s="668">
        <v>14</v>
      </c>
      <c r="P1685" s="668" t="str">
        <f>IFERROR(VLOOKUP(F1685, [2]MOE!B:C, 2, FALSE), "No")</f>
        <v>No</v>
      </c>
      <c r="Q1685" s="711" t="s">
        <v>1004</v>
      </c>
      <c r="S1685" s="670" t="s">
        <v>2513</v>
      </c>
      <c r="T1685" s="668" t="s">
        <v>1083</v>
      </c>
    </row>
    <row r="1686" spans="1:20">
      <c r="A1686" s="679">
        <v>2702220</v>
      </c>
      <c r="B1686" s="677"/>
      <c r="C1686" s="672"/>
      <c r="D1686" s="672"/>
      <c r="E1686" s="676" t="s">
        <v>1177</v>
      </c>
      <c r="F1686" s="680" t="s">
        <v>2545</v>
      </c>
      <c r="G1686" s="710">
        <v>270</v>
      </c>
      <c r="H1686" s="682">
        <v>2220</v>
      </c>
      <c r="J1686" s="668" t="str">
        <f t="shared" si="289"/>
        <v>(7) Health Benefits (retirees)</v>
      </c>
      <c r="L1686" s="668">
        <v>94</v>
      </c>
      <c r="M1686" s="669">
        <v>89</v>
      </c>
      <c r="N1686" s="668"/>
      <c r="O1686" s="668">
        <v>14</v>
      </c>
      <c r="P1686" s="668" t="str">
        <f>IFERROR(VLOOKUP(F1686, [2]MOE!B:C, 2, FALSE), "No")</f>
        <v>No</v>
      </c>
      <c r="Q1686" s="711" t="s">
        <v>1004</v>
      </c>
      <c r="S1686" s="670" t="s">
        <v>2513</v>
      </c>
      <c r="T1686" s="668" t="s">
        <v>1085</v>
      </c>
    </row>
    <row r="1687" spans="1:20">
      <c r="A1687" s="679">
        <v>2812220</v>
      </c>
      <c r="B1687" s="677"/>
      <c r="C1687" s="672"/>
      <c r="D1687" s="672"/>
      <c r="E1687" s="676" t="s">
        <v>1179</v>
      </c>
      <c r="F1687" s="680" t="s">
        <v>2546</v>
      </c>
      <c r="G1687" s="710">
        <v>281</v>
      </c>
      <c r="H1687" s="682">
        <v>2220</v>
      </c>
      <c r="J1687" s="668" t="str">
        <f t="shared" si="289"/>
        <v>(8) Sick Leave Severance Pay</v>
      </c>
      <c r="L1687" s="668">
        <v>95</v>
      </c>
      <c r="M1687" s="669">
        <v>90</v>
      </c>
      <c r="N1687" s="668"/>
      <c r="O1687" s="668">
        <v>14</v>
      </c>
      <c r="P1687" s="668" t="str">
        <f>IFERROR(VLOOKUP(F1687, [2]MOE!B:C, 2, FALSE), "No")</f>
        <v>No</v>
      </c>
      <c r="Q1687" s="711" t="s">
        <v>1004</v>
      </c>
      <c r="S1687" s="670" t="s">
        <v>2513</v>
      </c>
      <c r="T1687" s="668" t="s">
        <v>1087</v>
      </c>
    </row>
    <row r="1688" spans="1:20">
      <c r="A1688" s="679">
        <v>2822220</v>
      </c>
      <c r="B1688" s="677"/>
      <c r="C1688" s="672"/>
      <c r="D1688" s="672"/>
      <c r="E1688" s="676" t="s">
        <v>1181</v>
      </c>
      <c r="F1688" s="680" t="s">
        <v>2547</v>
      </c>
      <c r="G1688" s="710">
        <v>282</v>
      </c>
      <c r="H1688" s="682">
        <v>2220</v>
      </c>
      <c r="J1688" s="668" t="str">
        <f t="shared" si="289"/>
        <v>(9) Annual Leave Severance Pay</v>
      </c>
      <c r="L1688" s="668">
        <v>95</v>
      </c>
      <c r="M1688" s="669">
        <v>90</v>
      </c>
      <c r="N1688" s="668"/>
      <c r="O1688" s="668">
        <v>14</v>
      </c>
      <c r="P1688" s="668" t="str">
        <f>IFERROR(VLOOKUP(F1688, [2]MOE!B:C, 2, FALSE), "No")</f>
        <v>No</v>
      </c>
      <c r="Q1688" s="711" t="s">
        <v>1004</v>
      </c>
      <c r="S1688" s="670" t="s">
        <v>2513</v>
      </c>
      <c r="T1688" s="668" t="s">
        <v>1089</v>
      </c>
    </row>
    <row r="1689" spans="1:20">
      <c r="A1689" s="679">
        <v>2902220</v>
      </c>
      <c r="B1689" s="719"/>
      <c r="C1689" s="681"/>
      <c r="D1689" s="681"/>
      <c r="E1689" s="686" t="s">
        <v>1183</v>
      </c>
      <c r="F1689" s="680" t="s">
        <v>2548</v>
      </c>
      <c r="G1689" s="710">
        <v>290</v>
      </c>
      <c r="H1689" s="682">
        <v>2220</v>
      </c>
      <c r="J1689" s="668" t="str">
        <f t="shared" si="289"/>
        <v>(10) Other Employee Benefits</v>
      </c>
      <c r="L1689" s="668">
        <v>95</v>
      </c>
      <c r="M1689" s="669">
        <v>90</v>
      </c>
      <c r="N1689" s="668"/>
      <c r="O1689" s="668">
        <v>14</v>
      </c>
      <c r="P1689" s="668" t="str">
        <f>IFERROR(VLOOKUP(F1689, [2]MOE!B:C, 2, FALSE), "No")</f>
        <v>No</v>
      </c>
      <c r="Q1689" s="711" t="s">
        <v>1004</v>
      </c>
      <c r="S1689" s="670" t="s">
        <v>2513</v>
      </c>
      <c r="T1689" s="668" t="s">
        <v>1092</v>
      </c>
    </row>
    <row r="1690" spans="1:20">
      <c r="A1690" s="671"/>
      <c r="B1690" s="677"/>
      <c r="C1690" s="678">
        <v>57</v>
      </c>
      <c r="D1690" s="925" t="s">
        <v>2549</v>
      </c>
      <c r="E1690" s="926"/>
      <c r="F1690" s="675"/>
      <c r="G1690" s="672"/>
      <c r="H1690" s="676"/>
      <c r="Q1690" s="711"/>
      <c r="S1690" s="670"/>
    </row>
    <row r="1691" spans="1:20">
      <c r="A1691" s="671"/>
      <c r="B1691" s="677"/>
      <c r="C1691" s="672"/>
      <c r="D1691" s="672" t="s">
        <v>759</v>
      </c>
      <c r="E1691" s="676" t="s">
        <v>2550</v>
      </c>
      <c r="F1691" s="675"/>
      <c r="G1691" s="672"/>
      <c r="H1691" s="676"/>
      <c r="Q1691" s="711"/>
      <c r="S1691" s="670"/>
    </row>
    <row r="1692" spans="1:20">
      <c r="A1692" s="671"/>
      <c r="B1692" s="677"/>
      <c r="C1692" s="672"/>
      <c r="D1692" s="672"/>
      <c r="E1692" s="676" t="s">
        <v>2551</v>
      </c>
      <c r="F1692" s="675"/>
      <c r="G1692" s="672"/>
      <c r="H1692" s="676"/>
      <c r="Q1692" s="711"/>
      <c r="S1692" s="670"/>
    </row>
    <row r="1693" spans="1:20">
      <c r="A1693" s="679">
        <v>1112231</v>
      </c>
      <c r="B1693" s="677"/>
      <c r="C1693" s="672"/>
      <c r="D1693" s="672"/>
      <c r="E1693" s="676" t="s">
        <v>2215</v>
      </c>
      <c r="F1693" s="680" t="s">
        <v>2552</v>
      </c>
      <c r="G1693" s="710">
        <v>111</v>
      </c>
      <c r="H1693" s="682">
        <v>2231</v>
      </c>
      <c r="J1693" s="668" t="str">
        <f t="shared" ref="J1693:J1699" si="290">E1693</f>
        <v>(a) Director/Supervisors</v>
      </c>
      <c r="L1693" s="668">
        <v>81</v>
      </c>
      <c r="M1693" s="669">
        <v>76</v>
      </c>
      <c r="N1693" s="668"/>
      <c r="O1693" s="668">
        <v>14</v>
      </c>
      <c r="P1693" s="668" t="str">
        <f>IFERROR(VLOOKUP(F1693, [2]MOE!B:C, 2, FALSE), "No")</f>
        <v>No</v>
      </c>
      <c r="Q1693" s="711" t="s">
        <v>1004</v>
      </c>
      <c r="S1693" s="670" t="s">
        <v>2553</v>
      </c>
      <c r="T1693" s="668" t="s">
        <v>2218</v>
      </c>
    </row>
    <row r="1694" spans="1:20">
      <c r="A1694" s="679">
        <v>1122231</v>
      </c>
      <c r="B1694" s="677"/>
      <c r="C1694" s="672"/>
      <c r="D1694" s="672"/>
      <c r="E1694" s="676" t="s">
        <v>2554</v>
      </c>
      <c r="F1694" s="680" t="s">
        <v>2555</v>
      </c>
      <c r="G1694" s="710">
        <v>112</v>
      </c>
      <c r="H1694" s="682">
        <v>2231</v>
      </c>
      <c r="J1694" s="668" t="str">
        <f t="shared" si="290"/>
        <v>(b) Staff Instructors</v>
      </c>
      <c r="L1694" s="668">
        <v>82</v>
      </c>
      <c r="M1694" s="669">
        <v>77</v>
      </c>
      <c r="N1694" s="668"/>
      <c r="O1694" s="668">
        <v>14</v>
      </c>
      <c r="P1694" s="668" t="str">
        <f>IFERROR(VLOOKUP(F1694, [2]MOE!B:C, 2, FALSE), "No")</f>
        <v>No</v>
      </c>
      <c r="Q1694" s="711" t="s">
        <v>1004</v>
      </c>
      <c r="S1694" s="670" t="s">
        <v>2553</v>
      </c>
      <c r="T1694" s="668" t="s">
        <v>2556</v>
      </c>
    </row>
    <row r="1695" spans="1:20">
      <c r="A1695" s="679">
        <v>1132231</v>
      </c>
      <c r="B1695" s="677"/>
      <c r="C1695" s="672"/>
      <c r="D1695" s="672"/>
      <c r="E1695" s="676" t="s">
        <v>2557</v>
      </c>
      <c r="F1695" s="680" t="s">
        <v>2558</v>
      </c>
      <c r="G1695" s="710">
        <v>113</v>
      </c>
      <c r="H1695" s="682">
        <v>2231</v>
      </c>
      <c r="J1695" s="668" t="str">
        <f t="shared" si="290"/>
        <v>(c) Specialists</v>
      </c>
      <c r="L1695" s="668">
        <v>83</v>
      </c>
      <c r="M1695" s="669">
        <v>78</v>
      </c>
      <c r="N1695" s="668"/>
      <c r="O1695" s="668">
        <v>14</v>
      </c>
      <c r="P1695" s="668" t="str">
        <f>IFERROR(VLOOKUP(F1695, [2]MOE!B:C, 2, FALSE), "No")</f>
        <v>No</v>
      </c>
      <c r="Q1695" s="711" t="s">
        <v>1004</v>
      </c>
      <c r="S1695" s="670" t="s">
        <v>2553</v>
      </c>
      <c r="T1695" s="668" t="s">
        <v>2221</v>
      </c>
    </row>
    <row r="1696" spans="1:20">
      <c r="A1696" s="679">
        <v>1002231</v>
      </c>
      <c r="B1696" s="677"/>
      <c r="C1696" s="672"/>
      <c r="D1696" s="672"/>
      <c r="E1696" s="676" t="s">
        <v>2224</v>
      </c>
      <c r="F1696" s="680" t="s">
        <v>2559</v>
      </c>
      <c r="G1696" s="710">
        <v>100</v>
      </c>
      <c r="H1696" s="682">
        <v>2231</v>
      </c>
      <c r="J1696" s="668" t="str">
        <f t="shared" si="290"/>
        <v>(d) Other Salaries</v>
      </c>
      <c r="L1696" s="668">
        <v>86</v>
      </c>
      <c r="M1696" s="669">
        <v>81</v>
      </c>
      <c r="N1696" s="668"/>
      <c r="O1696" s="668">
        <v>14</v>
      </c>
      <c r="P1696" s="668" t="str">
        <f>IFERROR(VLOOKUP(F1696, [2]MOE!B:C, 2, FALSE), "No")</f>
        <v>No</v>
      </c>
      <c r="Q1696" s="711" t="s">
        <v>1004</v>
      </c>
      <c r="S1696" s="670" t="s">
        <v>2553</v>
      </c>
      <c r="T1696" s="668" t="s">
        <v>1947</v>
      </c>
    </row>
    <row r="1697" spans="1:20">
      <c r="A1697" s="679">
        <v>1402231</v>
      </c>
      <c r="B1697" s="677"/>
      <c r="C1697" s="672"/>
      <c r="D1697" s="672"/>
      <c r="E1697" s="676" t="s">
        <v>2226</v>
      </c>
      <c r="F1697" s="680" t="s">
        <v>2560</v>
      </c>
      <c r="G1697" s="710">
        <v>140</v>
      </c>
      <c r="H1697" s="682">
        <v>2231</v>
      </c>
      <c r="J1697" s="668" t="str">
        <f t="shared" si="290"/>
        <v>(e) Sabbatical Leave</v>
      </c>
      <c r="L1697" s="668">
        <v>86</v>
      </c>
      <c r="M1697" s="669">
        <v>81</v>
      </c>
      <c r="N1697" s="668"/>
      <c r="O1697" s="668">
        <v>14</v>
      </c>
      <c r="P1697" s="668" t="str">
        <f>IFERROR(VLOOKUP(F1697, [2]MOE!B:C, 2, FALSE), "No")</f>
        <v>No</v>
      </c>
      <c r="Q1697" s="711" t="s">
        <v>1004</v>
      </c>
      <c r="S1697" s="670" t="s">
        <v>2553</v>
      </c>
      <c r="T1697" s="668" t="s">
        <v>1019</v>
      </c>
    </row>
    <row r="1698" spans="1:20">
      <c r="A1698" s="679">
        <v>1502231</v>
      </c>
      <c r="B1698" s="677"/>
      <c r="C1698" s="672"/>
      <c r="D1698" s="672"/>
      <c r="E1698" s="676" t="s">
        <v>2561</v>
      </c>
      <c r="F1698" s="680" t="s">
        <v>2562</v>
      </c>
      <c r="G1698" s="710">
        <v>150</v>
      </c>
      <c r="H1698" s="682">
        <v>2231</v>
      </c>
      <c r="J1698" s="668" t="str">
        <f t="shared" si="290"/>
        <v>(f) Stipend Pay</v>
      </c>
      <c r="L1698" s="668">
        <v>86</v>
      </c>
      <c r="M1698" s="669">
        <v>81</v>
      </c>
      <c r="N1698" s="668"/>
      <c r="O1698" s="668">
        <v>14</v>
      </c>
      <c r="P1698" s="668" t="str">
        <f>IFERROR(VLOOKUP(F1698, [2]MOE!B:C, 2, FALSE), "No")</f>
        <v>No</v>
      </c>
      <c r="Q1698" s="711" t="s">
        <v>1004</v>
      </c>
      <c r="S1698" s="670" t="s">
        <v>2553</v>
      </c>
      <c r="T1698" s="668" t="s">
        <v>2563</v>
      </c>
    </row>
    <row r="1699" spans="1:20">
      <c r="A1699" s="679">
        <v>3002231</v>
      </c>
      <c r="B1699" s="677"/>
      <c r="C1699" s="672"/>
      <c r="D1699" s="672"/>
      <c r="E1699" s="676" t="s">
        <v>2564</v>
      </c>
      <c r="F1699" s="680" t="s">
        <v>2565</v>
      </c>
      <c r="G1699" s="710">
        <v>300</v>
      </c>
      <c r="H1699" s="682">
        <v>2231</v>
      </c>
      <c r="J1699" s="668" t="str">
        <f t="shared" si="290"/>
        <v>(2) Purchased Professional and Tech Svcs</v>
      </c>
      <c r="L1699" s="668">
        <v>101</v>
      </c>
      <c r="M1699" s="669">
        <v>96</v>
      </c>
      <c r="N1699" s="668"/>
      <c r="O1699" s="668">
        <v>14</v>
      </c>
      <c r="P1699" s="668" t="str">
        <f>IFERROR(VLOOKUP(F1699, [2]MOE!B:C, 2, FALSE), "No")</f>
        <v>No</v>
      </c>
      <c r="Q1699" s="711"/>
      <c r="S1699" s="670" t="s">
        <v>2553</v>
      </c>
      <c r="T1699" s="668" t="s">
        <v>2566</v>
      </c>
    </row>
    <row r="1700" spans="1:20">
      <c r="A1700" s="671"/>
      <c r="B1700" s="677"/>
      <c r="C1700" s="672"/>
      <c r="D1700" s="672"/>
      <c r="E1700" s="676" t="s">
        <v>2231</v>
      </c>
      <c r="F1700" s="675"/>
      <c r="G1700" s="672"/>
      <c r="H1700" s="676"/>
      <c r="Q1700" s="711"/>
      <c r="S1700" s="670"/>
    </row>
    <row r="1701" spans="1:20">
      <c r="A1701" s="679">
        <v>4302231</v>
      </c>
      <c r="B1701" s="677"/>
      <c r="C1701" s="672"/>
      <c r="D1701" s="672"/>
      <c r="E1701" s="676" t="s">
        <v>2232</v>
      </c>
      <c r="F1701" s="680" t="s">
        <v>2567</v>
      </c>
      <c r="G1701" s="710">
        <v>430</v>
      </c>
      <c r="H1701" s="682">
        <v>2231</v>
      </c>
      <c r="J1701" s="668" t="str">
        <f t="shared" ref="J1701:J1703" si="291">E1701</f>
        <v>(a) Repairs and Maintenance Services</v>
      </c>
      <c r="L1701" s="668">
        <v>107</v>
      </c>
      <c r="M1701" s="669">
        <v>102</v>
      </c>
      <c r="N1701" s="668"/>
      <c r="O1701" s="668">
        <v>14</v>
      </c>
      <c r="P1701" s="668" t="str">
        <f>IFERROR(VLOOKUP(F1701, [2]MOE!B:C, 2, FALSE), "No")</f>
        <v>No</v>
      </c>
      <c r="Q1701" s="711"/>
      <c r="S1701" s="670" t="s">
        <v>2553</v>
      </c>
      <c r="T1701" s="668" t="s">
        <v>1023</v>
      </c>
    </row>
    <row r="1702" spans="1:20">
      <c r="A1702" s="679">
        <v>4422231</v>
      </c>
      <c r="B1702" s="677"/>
      <c r="C1702" s="672"/>
      <c r="D1702" s="672"/>
      <c r="E1702" s="676" t="s">
        <v>2234</v>
      </c>
      <c r="F1702" s="680" t="s">
        <v>2568</v>
      </c>
      <c r="G1702" s="710">
        <v>442</v>
      </c>
      <c r="H1702" s="682">
        <v>2231</v>
      </c>
      <c r="J1702" s="668" t="str">
        <f t="shared" si="291"/>
        <v>(b) Rental of Equipment</v>
      </c>
      <c r="L1702" s="668">
        <v>106</v>
      </c>
      <c r="M1702" s="669">
        <v>101</v>
      </c>
      <c r="N1702" s="668"/>
      <c r="O1702" s="668">
        <v>14</v>
      </c>
      <c r="P1702" s="668" t="str">
        <f>IFERROR(VLOOKUP(F1702, [2]MOE!B:C, 2, FALSE), "No")</f>
        <v>No</v>
      </c>
      <c r="Q1702" s="711"/>
      <c r="S1702" s="670" t="s">
        <v>2553</v>
      </c>
      <c r="T1702" s="668" t="s">
        <v>1025</v>
      </c>
    </row>
    <row r="1703" spans="1:20">
      <c r="A1703" s="679">
        <v>4002231</v>
      </c>
      <c r="B1703" s="677"/>
      <c r="C1703" s="672"/>
      <c r="D1703" s="672"/>
      <c r="E1703" s="676" t="s">
        <v>2236</v>
      </c>
      <c r="F1703" s="680" t="s">
        <v>2569</v>
      </c>
      <c r="G1703" s="710">
        <v>400</v>
      </c>
      <c r="H1703" s="682">
        <v>2231</v>
      </c>
      <c r="J1703" s="668" t="str">
        <f t="shared" si="291"/>
        <v>(c) Other Purchased Property Svcs</v>
      </c>
      <c r="L1703" s="668">
        <v>108</v>
      </c>
      <c r="M1703" s="669">
        <v>103</v>
      </c>
      <c r="N1703" s="668"/>
      <c r="O1703" s="668">
        <v>14</v>
      </c>
      <c r="P1703" s="668" t="str">
        <f>IFERROR(VLOOKUP(F1703, [2]MOE!B:C, 2, FALSE), "No")</f>
        <v>No</v>
      </c>
      <c r="Q1703" s="711"/>
      <c r="S1703" s="670" t="s">
        <v>2553</v>
      </c>
      <c r="T1703" s="668" t="s">
        <v>2238</v>
      </c>
    </row>
    <row r="1704" spans="1:20">
      <c r="A1704" s="671"/>
      <c r="B1704" s="677"/>
      <c r="C1704" s="672"/>
      <c r="D1704" s="672"/>
      <c r="E1704" s="676" t="s">
        <v>1395</v>
      </c>
      <c r="F1704" s="675"/>
      <c r="G1704" s="672"/>
      <c r="H1704" s="676"/>
      <c r="Q1704" s="711"/>
      <c r="S1704" s="670"/>
    </row>
    <row r="1705" spans="1:20">
      <c r="A1705" s="679">
        <v>5822231</v>
      </c>
      <c r="B1705" s="677"/>
      <c r="C1705" s="672"/>
      <c r="D1705" s="672"/>
      <c r="E1705" s="676" t="s">
        <v>2239</v>
      </c>
      <c r="F1705" s="680" t="s">
        <v>2570</v>
      </c>
      <c r="G1705" s="710">
        <v>582</v>
      </c>
      <c r="H1705" s="682">
        <v>2231</v>
      </c>
      <c r="J1705" s="668" t="str">
        <f t="shared" ref="J1705:J1706" si="292">E1705</f>
        <v>(a) Travel Expense Reimbursement</v>
      </c>
      <c r="L1705" s="668">
        <v>118</v>
      </c>
      <c r="M1705" s="669">
        <v>109</v>
      </c>
      <c r="N1705" s="668"/>
      <c r="O1705" s="668">
        <v>14</v>
      </c>
      <c r="P1705" s="668" t="str">
        <f>IFERROR(VLOOKUP(F1705, [2]MOE!B:C, 2, FALSE), "No")</f>
        <v>No</v>
      </c>
      <c r="Q1705" s="711"/>
      <c r="S1705" s="670" t="s">
        <v>2553</v>
      </c>
      <c r="T1705" s="668" t="s">
        <v>1039</v>
      </c>
    </row>
    <row r="1706" spans="1:20">
      <c r="A1706" s="679">
        <v>5002231</v>
      </c>
      <c r="B1706" s="677"/>
      <c r="C1706" s="672"/>
      <c r="D1706" s="672"/>
      <c r="E1706" s="676" t="s">
        <v>2241</v>
      </c>
      <c r="F1706" s="680" t="s">
        <v>2571</v>
      </c>
      <c r="G1706" s="710">
        <v>500</v>
      </c>
      <c r="H1706" s="682">
        <v>2231</v>
      </c>
      <c r="J1706" s="668" t="str">
        <f t="shared" si="292"/>
        <v>(b) Other Purchased Services</v>
      </c>
      <c r="L1706" s="668">
        <v>119</v>
      </c>
      <c r="M1706" s="669">
        <v>110</v>
      </c>
      <c r="N1706" s="668"/>
      <c r="O1706" s="668">
        <v>14</v>
      </c>
      <c r="P1706" s="668" t="str">
        <f>IFERROR(VLOOKUP(F1706, [2]MOE!B:C, 2, FALSE), "No")</f>
        <v>No</v>
      </c>
      <c r="Q1706" s="711"/>
      <c r="S1706" s="670" t="s">
        <v>2553</v>
      </c>
      <c r="T1706" s="668" t="s">
        <v>252</v>
      </c>
    </row>
    <row r="1707" spans="1:20">
      <c r="A1707" s="671"/>
      <c r="B1707" s="677"/>
      <c r="C1707" s="672"/>
      <c r="D1707" s="672"/>
      <c r="E1707" s="676" t="s">
        <v>2243</v>
      </c>
      <c r="F1707" s="675"/>
      <c r="G1707" s="672"/>
      <c r="H1707" s="676"/>
      <c r="Q1707" s="711"/>
      <c r="S1707" s="670"/>
    </row>
    <row r="1708" spans="1:20">
      <c r="A1708" s="679">
        <v>6152231</v>
      </c>
      <c r="B1708" s="677"/>
      <c r="C1708" s="672"/>
      <c r="D1708" s="672"/>
      <c r="E1708" s="676" t="s">
        <v>2244</v>
      </c>
      <c r="F1708" s="680" t="s">
        <v>2572</v>
      </c>
      <c r="G1708" s="710">
        <v>615</v>
      </c>
      <c r="H1708" s="682">
        <v>2231</v>
      </c>
      <c r="J1708" s="668" t="str">
        <f t="shared" ref="J1708:J1710" si="293">E1708</f>
        <v>(a) Technology-Related Supplies</v>
      </c>
      <c r="L1708" s="668">
        <v>126</v>
      </c>
      <c r="M1708" s="669">
        <v>117</v>
      </c>
      <c r="N1708" s="668"/>
      <c r="O1708" s="668">
        <v>14</v>
      </c>
      <c r="P1708" s="668" t="str">
        <f>IFERROR(VLOOKUP(F1708, [2]MOE!B:C, 2, FALSE), "No")</f>
        <v>No</v>
      </c>
      <c r="Q1708" s="711" t="s">
        <v>1045</v>
      </c>
      <c r="S1708" s="670" t="s">
        <v>2553</v>
      </c>
      <c r="T1708" s="668" t="s">
        <v>1043</v>
      </c>
    </row>
    <row r="1709" spans="1:20">
      <c r="A1709" s="679">
        <v>6102231</v>
      </c>
      <c r="B1709" s="677"/>
      <c r="C1709" s="672"/>
      <c r="D1709" s="672"/>
      <c r="E1709" s="676" t="s">
        <v>2246</v>
      </c>
      <c r="F1709" s="680" t="s">
        <v>2573</v>
      </c>
      <c r="G1709" s="710">
        <v>610</v>
      </c>
      <c r="H1709" s="682">
        <v>2231</v>
      </c>
      <c r="J1709" s="668" t="str">
        <f t="shared" si="293"/>
        <v>(b) Materials and Supplies</v>
      </c>
      <c r="L1709" s="668">
        <v>122</v>
      </c>
      <c r="M1709" s="669">
        <v>113</v>
      </c>
      <c r="N1709" s="668"/>
      <c r="O1709" s="668">
        <v>14</v>
      </c>
      <c r="P1709" s="668" t="str">
        <f>IFERROR(VLOOKUP(F1709, [2]MOE!B:C, 2, FALSE), "No")</f>
        <v>No</v>
      </c>
      <c r="Q1709" s="711" t="s">
        <v>1045</v>
      </c>
      <c r="S1709" s="670" t="s">
        <v>2553</v>
      </c>
      <c r="T1709" s="668" t="s">
        <v>39</v>
      </c>
    </row>
    <row r="1710" spans="1:20">
      <c r="A1710" s="679">
        <v>6002231</v>
      </c>
      <c r="B1710" s="677"/>
      <c r="C1710" s="672"/>
      <c r="D1710" s="672"/>
      <c r="E1710" s="676" t="s">
        <v>2248</v>
      </c>
      <c r="F1710" s="680" t="s">
        <v>2574</v>
      </c>
      <c r="G1710" s="710">
        <v>600</v>
      </c>
      <c r="H1710" s="682">
        <v>2231</v>
      </c>
      <c r="J1710" s="668" t="str">
        <f t="shared" si="293"/>
        <v>(c) Other Supplies</v>
      </c>
      <c r="L1710" s="668">
        <v>126</v>
      </c>
      <c r="M1710" s="669">
        <v>117</v>
      </c>
      <c r="N1710" s="668"/>
      <c r="O1710" s="668">
        <v>14</v>
      </c>
      <c r="P1710" s="668" t="str">
        <f>IFERROR(VLOOKUP(F1710, [2]MOE!B:C, 2, FALSE), "No")</f>
        <v>No</v>
      </c>
      <c r="Q1710" s="711"/>
      <c r="S1710" s="670" t="s">
        <v>2553</v>
      </c>
      <c r="T1710" s="668" t="s">
        <v>1050</v>
      </c>
    </row>
    <row r="1711" spans="1:20">
      <c r="A1711" s="671"/>
      <c r="B1711" s="677"/>
      <c r="C1711" s="672"/>
      <c r="D1711" s="672"/>
      <c r="E1711" s="676" t="s">
        <v>2250</v>
      </c>
      <c r="F1711" s="675"/>
      <c r="G1711" s="672"/>
      <c r="H1711" s="676"/>
      <c r="Q1711" s="711"/>
      <c r="S1711" s="670"/>
    </row>
    <row r="1712" spans="1:20">
      <c r="A1712" s="679">
        <v>7342231</v>
      </c>
      <c r="B1712" s="677"/>
      <c r="C1712" s="672"/>
      <c r="D1712" s="672"/>
      <c r="E1712" s="676" t="s">
        <v>2251</v>
      </c>
      <c r="F1712" s="680" t="s">
        <v>2575</v>
      </c>
      <c r="G1712" s="710">
        <v>734</v>
      </c>
      <c r="H1712" s="682">
        <v>2231</v>
      </c>
      <c r="J1712" s="668" t="str">
        <f t="shared" ref="J1712:J1715" si="294">E1712</f>
        <v>(a) Technology-Related Hardware</v>
      </c>
      <c r="L1712" s="668">
        <v>131</v>
      </c>
      <c r="M1712" s="669">
        <v>122</v>
      </c>
      <c r="N1712" s="668"/>
      <c r="O1712" s="668">
        <v>14</v>
      </c>
      <c r="P1712" s="668" t="str">
        <f>IFERROR(VLOOKUP(F1712, [2]MOE!B:C, 2, FALSE), "No")</f>
        <v>No</v>
      </c>
      <c r="Q1712" s="711"/>
      <c r="S1712" s="670" t="s">
        <v>2553</v>
      </c>
      <c r="T1712" s="668" t="s">
        <v>1053</v>
      </c>
    </row>
    <row r="1713" spans="1:20">
      <c r="A1713" s="679">
        <v>7352231</v>
      </c>
      <c r="B1713" s="677"/>
      <c r="C1713" s="672"/>
      <c r="D1713" s="672"/>
      <c r="E1713" s="676" t="s">
        <v>2253</v>
      </c>
      <c r="F1713" s="680" t="s">
        <v>2576</v>
      </c>
      <c r="G1713" s="710">
        <v>735</v>
      </c>
      <c r="H1713" s="682">
        <v>2231</v>
      </c>
      <c r="J1713" s="668" t="str">
        <f t="shared" si="294"/>
        <v>(b) Technology Software</v>
      </c>
      <c r="L1713" s="668">
        <v>131</v>
      </c>
      <c r="M1713" s="669">
        <v>122</v>
      </c>
      <c r="N1713" s="668"/>
      <c r="O1713" s="668">
        <v>14</v>
      </c>
      <c r="P1713" s="668" t="str">
        <f>IFERROR(VLOOKUP(F1713, [2]MOE!B:C, 2, FALSE), "No")</f>
        <v>No</v>
      </c>
      <c r="Q1713" s="711"/>
      <c r="S1713" s="670" t="s">
        <v>2553</v>
      </c>
      <c r="T1713" s="668" t="s">
        <v>1055</v>
      </c>
    </row>
    <row r="1714" spans="1:20">
      <c r="A1714" s="679">
        <v>7302231</v>
      </c>
      <c r="B1714" s="677"/>
      <c r="C1714" s="672"/>
      <c r="D1714" s="672"/>
      <c r="E1714" s="676" t="s">
        <v>2255</v>
      </c>
      <c r="F1714" s="680" t="s">
        <v>2577</v>
      </c>
      <c r="G1714" s="710">
        <v>730</v>
      </c>
      <c r="H1714" s="682">
        <v>2231</v>
      </c>
      <c r="J1714" s="668" t="str">
        <f t="shared" si="294"/>
        <v>(c) All Other Equipment</v>
      </c>
      <c r="L1714" s="668">
        <v>131</v>
      </c>
      <c r="M1714" s="669">
        <v>122</v>
      </c>
      <c r="N1714" s="668"/>
      <c r="O1714" s="668">
        <v>14</v>
      </c>
      <c r="P1714" s="668" t="str">
        <f>IFERROR(VLOOKUP(F1714, [2]MOE!B:C, 2, FALSE), "No")</f>
        <v>No</v>
      </c>
      <c r="Q1714" s="711"/>
      <c r="S1714" s="670" t="s">
        <v>2553</v>
      </c>
      <c r="T1714" s="668" t="s">
        <v>1057</v>
      </c>
    </row>
    <row r="1715" spans="1:20">
      <c r="A1715" s="679">
        <v>7002231</v>
      </c>
      <c r="B1715" s="677"/>
      <c r="C1715" s="672"/>
      <c r="D1715" s="672"/>
      <c r="E1715" s="676" t="s">
        <v>2257</v>
      </c>
      <c r="F1715" s="680" t="s">
        <v>2578</v>
      </c>
      <c r="G1715" s="710">
        <v>700</v>
      </c>
      <c r="H1715" s="682">
        <v>2231</v>
      </c>
      <c r="J1715" s="668" t="str">
        <f t="shared" si="294"/>
        <v>(d) Other Property</v>
      </c>
      <c r="L1715" s="668">
        <v>132</v>
      </c>
      <c r="M1715" s="669">
        <v>123</v>
      </c>
      <c r="N1715" s="668"/>
      <c r="O1715" s="668">
        <v>14</v>
      </c>
      <c r="P1715" s="668" t="str">
        <f>IFERROR(VLOOKUP(F1715, [2]MOE!B:C, 2, FALSE), "No")</f>
        <v>No</v>
      </c>
      <c r="Q1715" s="711"/>
      <c r="S1715" s="670" t="s">
        <v>2553</v>
      </c>
      <c r="T1715" s="668" t="s">
        <v>1059</v>
      </c>
    </row>
    <row r="1716" spans="1:20">
      <c r="A1716" s="671"/>
      <c r="B1716" s="677"/>
      <c r="C1716" s="672"/>
      <c r="D1716" s="672"/>
      <c r="E1716" s="676" t="s">
        <v>2259</v>
      </c>
      <c r="F1716" s="675"/>
      <c r="G1716" s="672"/>
      <c r="H1716" s="676"/>
      <c r="Q1716" s="711"/>
      <c r="S1716" s="670"/>
    </row>
    <row r="1717" spans="1:20">
      <c r="A1717" s="679">
        <v>8952231</v>
      </c>
      <c r="B1717" s="677"/>
      <c r="C1717" s="672"/>
      <c r="D1717" s="672"/>
      <c r="E1717" s="676" t="s">
        <v>2260</v>
      </c>
      <c r="F1717" s="680" t="s">
        <v>2579</v>
      </c>
      <c r="G1717" s="710">
        <v>895</v>
      </c>
      <c r="H1717" s="682">
        <v>2231</v>
      </c>
      <c r="J1717" s="668" t="str">
        <f t="shared" ref="J1717:J1718" si="295">E1717</f>
        <v>(a) Misc. Non-Public Expenditures</v>
      </c>
      <c r="L1717" s="668">
        <v>139</v>
      </c>
      <c r="M1717" s="669">
        <v>129</v>
      </c>
      <c r="N1717" s="668"/>
      <c r="O1717" s="668">
        <v>14</v>
      </c>
      <c r="P1717" s="668" t="str">
        <f>IFERROR(VLOOKUP(F1717, [2]MOE!B:C, 2, FALSE), "No")</f>
        <v>No</v>
      </c>
      <c r="Q1717" s="711"/>
      <c r="S1717" s="670" t="s">
        <v>2553</v>
      </c>
      <c r="T1717" s="668" t="s">
        <v>2262</v>
      </c>
    </row>
    <row r="1718" spans="1:20">
      <c r="A1718" s="679">
        <v>8002231</v>
      </c>
      <c r="B1718" s="677"/>
      <c r="C1718" s="672"/>
      <c r="D1718" s="672"/>
      <c r="E1718" s="676" t="s">
        <v>2263</v>
      </c>
      <c r="F1718" s="680" t="s">
        <v>2580</v>
      </c>
      <c r="G1718" s="710">
        <v>800</v>
      </c>
      <c r="H1718" s="682">
        <v>2231</v>
      </c>
      <c r="J1718" s="668" t="str">
        <f t="shared" si="295"/>
        <v>(b) Other Miscellaneous Expenditures</v>
      </c>
      <c r="L1718" s="668">
        <v>139</v>
      </c>
      <c r="M1718" s="669">
        <v>129</v>
      </c>
      <c r="N1718" s="668"/>
      <c r="O1718" s="668">
        <v>14</v>
      </c>
      <c r="P1718" s="668" t="str">
        <f>IFERROR(VLOOKUP(F1718, [2]MOE!B:C, 2, FALSE), "No")</f>
        <v>No</v>
      </c>
      <c r="Q1718" s="711"/>
      <c r="S1718" s="670" t="s">
        <v>2553</v>
      </c>
      <c r="T1718" s="668" t="s">
        <v>1063</v>
      </c>
    </row>
    <row r="1719" spans="1:20">
      <c r="A1719" s="671"/>
      <c r="B1719" s="677"/>
      <c r="C1719" s="672"/>
      <c r="D1719" s="672"/>
      <c r="E1719" s="676" t="s">
        <v>2265</v>
      </c>
      <c r="F1719" s="675"/>
      <c r="G1719" s="672"/>
      <c r="H1719" s="676"/>
      <c r="Q1719" s="711"/>
      <c r="S1719" s="670"/>
    </row>
    <row r="1720" spans="1:20">
      <c r="A1720" s="679">
        <v>2102231</v>
      </c>
      <c r="B1720" s="677"/>
      <c r="C1720" s="672"/>
      <c r="D1720" s="672"/>
      <c r="E1720" s="676" t="s">
        <v>2266</v>
      </c>
      <c r="F1720" s="680" t="s">
        <v>2581</v>
      </c>
      <c r="G1720" s="710">
        <v>210</v>
      </c>
      <c r="H1720" s="682">
        <v>2231</v>
      </c>
      <c r="J1720" s="668" t="str">
        <f t="shared" ref="J1720:J1722" si="296">E1720</f>
        <v>(a) Group Insurance</v>
      </c>
      <c r="L1720" s="668">
        <v>89</v>
      </c>
      <c r="M1720" s="669">
        <v>84</v>
      </c>
      <c r="N1720" s="668"/>
      <c r="O1720" s="668">
        <v>14</v>
      </c>
      <c r="P1720" s="668" t="str">
        <f>IFERROR(VLOOKUP(F1720, [2]MOE!B:C, 2, FALSE), "No")</f>
        <v>No</v>
      </c>
      <c r="Q1720" s="711" t="s">
        <v>1004</v>
      </c>
      <c r="S1720" s="670" t="s">
        <v>2553</v>
      </c>
      <c r="T1720" s="668" t="s">
        <v>1066</v>
      </c>
    </row>
    <row r="1721" spans="1:20">
      <c r="A1721" s="679">
        <v>2202231</v>
      </c>
      <c r="B1721" s="677"/>
      <c r="C1721" s="672"/>
      <c r="D1721" s="672"/>
      <c r="E1721" s="676" t="s">
        <v>2268</v>
      </c>
      <c r="F1721" s="680" t="s">
        <v>2582</v>
      </c>
      <c r="G1721" s="710">
        <v>220</v>
      </c>
      <c r="H1721" s="682">
        <v>2231</v>
      </c>
      <c r="J1721" s="668" t="str">
        <f t="shared" si="296"/>
        <v>(b) FICA</v>
      </c>
      <c r="L1721" s="668">
        <v>90</v>
      </c>
      <c r="M1721" s="669">
        <v>85</v>
      </c>
      <c r="N1721" s="668"/>
      <c r="O1721" s="668">
        <v>14</v>
      </c>
      <c r="P1721" s="668" t="str">
        <f>IFERROR(VLOOKUP(F1721, [2]MOE!B:C, 2, FALSE), "No")</f>
        <v>No</v>
      </c>
      <c r="Q1721" s="711" t="s">
        <v>1004</v>
      </c>
      <c r="S1721" s="670" t="s">
        <v>2553</v>
      </c>
      <c r="T1721" s="668" t="s">
        <v>1068</v>
      </c>
    </row>
    <row r="1722" spans="1:20">
      <c r="A1722" s="679">
        <v>2252231</v>
      </c>
      <c r="B1722" s="677"/>
      <c r="C1722" s="672"/>
      <c r="D1722" s="672"/>
      <c r="E1722" s="676" t="s">
        <v>2270</v>
      </c>
      <c r="F1722" s="680" t="s">
        <v>2583</v>
      </c>
      <c r="G1722" s="710">
        <v>225</v>
      </c>
      <c r="H1722" s="682">
        <v>2231</v>
      </c>
      <c r="J1722" s="668" t="str">
        <f t="shared" si="296"/>
        <v>(c) Medicare</v>
      </c>
      <c r="L1722" s="668">
        <v>91</v>
      </c>
      <c r="M1722" s="669">
        <v>86</v>
      </c>
      <c r="N1722" s="668"/>
      <c r="O1722" s="668">
        <v>14</v>
      </c>
      <c r="P1722" s="668" t="str">
        <f>IFERROR(VLOOKUP(F1722, [2]MOE!B:C, 2, FALSE), "No")</f>
        <v>No</v>
      </c>
      <c r="Q1722" s="711" t="s">
        <v>1004</v>
      </c>
      <c r="S1722" s="670" t="s">
        <v>2553</v>
      </c>
      <c r="T1722" s="668" t="s">
        <v>23</v>
      </c>
    </row>
    <row r="1723" spans="1:20">
      <c r="A1723" s="671"/>
      <c r="B1723" s="677"/>
      <c r="C1723" s="672"/>
      <c r="D1723" s="672"/>
      <c r="E1723" s="676" t="s">
        <v>2272</v>
      </c>
      <c r="F1723" s="675"/>
      <c r="G1723" s="672"/>
      <c r="H1723" s="676"/>
      <c r="Q1723" s="711"/>
      <c r="S1723" s="670"/>
    </row>
    <row r="1724" spans="1:20">
      <c r="A1724" s="679">
        <v>2312231</v>
      </c>
      <c r="B1724" s="677"/>
      <c r="C1724" s="672"/>
      <c r="D1724" s="672"/>
      <c r="E1724" s="676" t="s">
        <v>2273</v>
      </c>
      <c r="F1724" s="680" t="s">
        <v>2584</v>
      </c>
      <c r="G1724" s="710">
        <v>231</v>
      </c>
      <c r="H1724" s="682">
        <v>2231</v>
      </c>
      <c r="J1724" s="668" t="str">
        <f t="shared" ref="J1724:J1733" si="297">E1724</f>
        <v>1) Louisiana Teachers Retirement</v>
      </c>
      <c r="L1724" s="668">
        <v>92</v>
      </c>
      <c r="M1724" s="669">
        <v>87</v>
      </c>
      <c r="N1724" s="668"/>
      <c r="O1724" s="668">
        <v>14</v>
      </c>
      <c r="P1724" s="668" t="str">
        <f>IFERROR(VLOOKUP(F1724, [2]MOE!B:C, 2, FALSE), "No")</f>
        <v>No</v>
      </c>
      <c r="Q1724" s="711" t="s">
        <v>1004</v>
      </c>
      <c r="S1724" s="670" t="s">
        <v>2553</v>
      </c>
      <c r="T1724" s="668" t="s">
        <v>1074</v>
      </c>
    </row>
    <row r="1725" spans="1:20">
      <c r="A1725" s="679">
        <v>2332231</v>
      </c>
      <c r="B1725" s="677"/>
      <c r="C1725" s="672"/>
      <c r="D1725" s="672"/>
      <c r="E1725" s="676" t="s">
        <v>2275</v>
      </c>
      <c r="F1725" s="680" t="s">
        <v>2585</v>
      </c>
      <c r="G1725" s="710">
        <v>233</v>
      </c>
      <c r="H1725" s="682">
        <v>2231</v>
      </c>
      <c r="J1725" s="668" t="str">
        <f t="shared" si="297"/>
        <v>2) Louisiana School Emp. Retire.</v>
      </c>
      <c r="L1725" s="668">
        <v>92</v>
      </c>
      <c r="M1725" s="669">
        <v>87</v>
      </c>
      <c r="N1725" s="668"/>
      <c r="O1725" s="668">
        <v>14</v>
      </c>
      <c r="P1725" s="668" t="str">
        <f>IFERROR(VLOOKUP(F1725, [2]MOE!B:C, 2, FALSE), "No")</f>
        <v>No</v>
      </c>
      <c r="Q1725" s="711" t="s">
        <v>1004</v>
      </c>
      <c r="S1725" s="670" t="s">
        <v>2553</v>
      </c>
      <c r="T1725" s="668" t="s">
        <v>2277</v>
      </c>
    </row>
    <row r="1726" spans="1:20">
      <c r="A1726" s="679">
        <v>2392231</v>
      </c>
      <c r="B1726" s="677"/>
      <c r="C1726" s="672"/>
      <c r="D1726" s="672"/>
      <c r="E1726" s="676" t="s">
        <v>2278</v>
      </c>
      <c r="F1726" s="680" t="s">
        <v>2586</v>
      </c>
      <c r="G1726" s="710">
        <v>239</v>
      </c>
      <c r="H1726" s="682">
        <v>2231</v>
      </c>
      <c r="J1726" s="668" t="str">
        <f t="shared" si="297"/>
        <v>3) Other Retirement</v>
      </c>
      <c r="L1726" s="668">
        <v>92</v>
      </c>
      <c r="M1726" s="669">
        <v>87</v>
      </c>
      <c r="N1726" s="668"/>
      <c r="O1726" s="668">
        <v>14</v>
      </c>
      <c r="P1726" s="668" t="str">
        <f>IFERROR(VLOOKUP(F1726, [2]MOE!B:C, 2, FALSE), "No")</f>
        <v>No</v>
      </c>
      <c r="Q1726" s="711" t="s">
        <v>1004</v>
      </c>
      <c r="S1726" s="670" t="s">
        <v>2553</v>
      </c>
      <c r="T1726" s="668" t="s">
        <v>1080</v>
      </c>
    </row>
    <row r="1727" spans="1:20">
      <c r="A1727" s="679">
        <v>2402231</v>
      </c>
      <c r="B1727" s="677"/>
      <c r="C1727" s="672"/>
      <c r="D1727" s="672"/>
      <c r="E1727" s="676" t="s">
        <v>2587</v>
      </c>
      <c r="F1727" s="680" t="s">
        <v>2588</v>
      </c>
      <c r="G1727" s="710">
        <v>240</v>
      </c>
      <c r="H1727" s="682">
        <v>2231</v>
      </c>
      <c r="J1727" s="668" t="str">
        <f t="shared" si="297"/>
        <v>(e) Educational Reimbursement</v>
      </c>
      <c r="L1727" s="668">
        <v>95</v>
      </c>
      <c r="M1727" s="669">
        <v>90</v>
      </c>
      <c r="N1727" s="668"/>
      <c r="O1727" s="668">
        <v>14</v>
      </c>
      <c r="P1727" s="668" t="str">
        <f>IFERROR(VLOOKUP(F1727, [2]MOE!B:C, 2, FALSE), "No")</f>
        <v>No</v>
      </c>
      <c r="Q1727" s="711" t="s">
        <v>1004</v>
      </c>
      <c r="S1727" s="670" t="s">
        <v>2553</v>
      </c>
      <c r="T1727" s="668" t="s">
        <v>2589</v>
      </c>
    </row>
    <row r="1728" spans="1:20">
      <c r="A1728" s="679">
        <v>2502231</v>
      </c>
      <c r="B1728" s="677"/>
      <c r="C1728" s="672"/>
      <c r="D1728" s="672"/>
      <c r="E1728" s="676" t="s">
        <v>2590</v>
      </c>
      <c r="F1728" s="680" t="s">
        <v>2591</v>
      </c>
      <c r="G1728" s="710">
        <v>250</v>
      </c>
      <c r="H1728" s="682">
        <v>2231</v>
      </c>
      <c r="J1728" s="668" t="str">
        <f t="shared" si="297"/>
        <v>(f) Unemployment Compensation</v>
      </c>
      <c r="L1728" s="668">
        <v>93</v>
      </c>
      <c r="M1728" s="669">
        <v>88</v>
      </c>
      <c r="N1728" s="668"/>
      <c r="O1728" s="668">
        <v>14</v>
      </c>
      <c r="P1728" s="668" t="str">
        <f>IFERROR(VLOOKUP(F1728, [2]MOE!B:C, 2, FALSE), "No")</f>
        <v>No</v>
      </c>
      <c r="Q1728" s="711" t="s">
        <v>1004</v>
      </c>
      <c r="S1728" s="670" t="s">
        <v>2553</v>
      </c>
      <c r="T1728" s="668" t="s">
        <v>1081</v>
      </c>
    </row>
    <row r="1729" spans="1:20">
      <c r="A1729" s="679">
        <v>2602231</v>
      </c>
      <c r="B1729" s="677"/>
      <c r="C1729" s="672"/>
      <c r="D1729" s="672"/>
      <c r="E1729" s="676" t="s">
        <v>2592</v>
      </c>
      <c r="F1729" s="680" t="s">
        <v>2593</v>
      </c>
      <c r="G1729" s="710">
        <v>260</v>
      </c>
      <c r="H1729" s="682">
        <v>2231</v>
      </c>
      <c r="J1729" s="668" t="str">
        <f t="shared" si="297"/>
        <v>(g) Workmen's Compensation</v>
      </c>
      <c r="L1729" s="668">
        <v>95</v>
      </c>
      <c r="M1729" s="669">
        <v>90</v>
      </c>
      <c r="N1729" s="668"/>
      <c r="O1729" s="668">
        <v>14</v>
      </c>
      <c r="P1729" s="668" t="str">
        <f>IFERROR(VLOOKUP(F1729, [2]MOE!B:C, 2, FALSE), "No")</f>
        <v>No</v>
      </c>
      <c r="Q1729" s="711" t="s">
        <v>1004</v>
      </c>
      <c r="S1729" s="670" t="s">
        <v>2553</v>
      </c>
      <c r="T1729" s="668" t="s">
        <v>1083</v>
      </c>
    </row>
    <row r="1730" spans="1:20">
      <c r="A1730" s="679">
        <v>2702231</v>
      </c>
      <c r="B1730" s="677"/>
      <c r="C1730" s="672"/>
      <c r="D1730" s="672"/>
      <c r="E1730" s="676" t="s">
        <v>2594</v>
      </c>
      <c r="F1730" s="680" t="s">
        <v>2595</v>
      </c>
      <c r="G1730" s="710">
        <v>270</v>
      </c>
      <c r="H1730" s="682">
        <v>2231</v>
      </c>
      <c r="J1730" s="668" t="str">
        <f t="shared" si="297"/>
        <v>(h) Health Benefits (retirees)</v>
      </c>
      <c r="L1730" s="668">
        <v>94</v>
      </c>
      <c r="M1730" s="669">
        <v>89</v>
      </c>
      <c r="N1730" s="668"/>
      <c r="O1730" s="668">
        <v>14</v>
      </c>
      <c r="P1730" s="668" t="str">
        <f>IFERROR(VLOOKUP(F1730, [2]MOE!B:C, 2, FALSE), "No")</f>
        <v>No</v>
      </c>
      <c r="Q1730" s="711" t="s">
        <v>1004</v>
      </c>
      <c r="S1730" s="670" t="s">
        <v>2553</v>
      </c>
      <c r="T1730" s="668" t="s">
        <v>1085</v>
      </c>
    </row>
    <row r="1731" spans="1:20">
      <c r="A1731" s="679">
        <v>2812231</v>
      </c>
      <c r="B1731" s="677"/>
      <c r="C1731" s="672"/>
      <c r="D1731" s="672"/>
      <c r="E1731" s="676" t="s">
        <v>2596</v>
      </c>
      <c r="F1731" s="680" t="s">
        <v>2597</v>
      </c>
      <c r="G1731" s="710">
        <v>281</v>
      </c>
      <c r="H1731" s="682">
        <v>2231</v>
      </c>
      <c r="J1731" s="668" t="str">
        <f t="shared" si="297"/>
        <v>(i) Sick Leave Severance Pay</v>
      </c>
      <c r="L1731" s="668">
        <v>95</v>
      </c>
      <c r="M1731" s="669">
        <v>90</v>
      </c>
      <c r="N1731" s="668"/>
      <c r="O1731" s="668">
        <v>14</v>
      </c>
      <c r="P1731" s="668" t="str">
        <f>IFERROR(VLOOKUP(F1731, [2]MOE!B:C, 2, FALSE), "No")</f>
        <v>No</v>
      </c>
      <c r="Q1731" s="711" t="s">
        <v>1004</v>
      </c>
      <c r="S1731" s="670" t="s">
        <v>2553</v>
      </c>
      <c r="T1731" s="668" t="s">
        <v>1087</v>
      </c>
    </row>
    <row r="1732" spans="1:20">
      <c r="A1732" s="679">
        <v>2822231</v>
      </c>
      <c r="B1732" s="677"/>
      <c r="C1732" s="672"/>
      <c r="D1732" s="672"/>
      <c r="E1732" s="676" t="s">
        <v>2598</v>
      </c>
      <c r="F1732" s="680" t="s">
        <v>2599</v>
      </c>
      <c r="G1732" s="710">
        <v>282</v>
      </c>
      <c r="H1732" s="682">
        <v>2231</v>
      </c>
      <c r="J1732" s="668" t="str">
        <f t="shared" si="297"/>
        <v>(j) Annual Leave Severance Pay</v>
      </c>
      <c r="L1732" s="668">
        <v>95</v>
      </c>
      <c r="M1732" s="669">
        <v>90</v>
      </c>
      <c r="N1732" s="668"/>
      <c r="O1732" s="668">
        <v>14</v>
      </c>
      <c r="P1732" s="668" t="str">
        <f>IFERROR(VLOOKUP(F1732, [2]MOE!B:C, 2, FALSE), "No")</f>
        <v>No</v>
      </c>
      <c r="Q1732" s="711" t="s">
        <v>1004</v>
      </c>
      <c r="S1732" s="670" t="s">
        <v>2553</v>
      </c>
      <c r="T1732" s="668" t="s">
        <v>1089</v>
      </c>
    </row>
    <row r="1733" spans="1:20">
      <c r="A1733" s="679">
        <v>2902231</v>
      </c>
      <c r="B1733" s="677"/>
      <c r="C1733" s="672"/>
      <c r="D1733" s="672"/>
      <c r="E1733" s="676" t="s">
        <v>2600</v>
      </c>
      <c r="F1733" s="680" t="s">
        <v>2601</v>
      </c>
      <c r="G1733" s="710">
        <v>290</v>
      </c>
      <c r="H1733" s="682">
        <v>2231</v>
      </c>
      <c r="J1733" s="668" t="str">
        <f t="shared" si="297"/>
        <v>(k) Other Employee Benefits</v>
      </c>
      <c r="L1733" s="668">
        <v>95</v>
      </c>
      <c r="M1733" s="669">
        <v>90</v>
      </c>
      <c r="N1733" s="668"/>
      <c r="O1733" s="668">
        <v>14</v>
      </c>
      <c r="P1733" s="668" t="str">
        <f>IFERROR(VLOOKUP(F1733, [2]MOE!B:C, 2, FALSE), "No")</f>
        <v>No</v>
      </c>
      <c r="Q1733" s="711" t="s">
        <v>1004</v>
      </c>
      <c r="S1733" s="670" t="s">
        <v>2553</v>
      </c>
      <c r="T1733" s="668" t="s">
        <v>1092</v>
      </c>
    </row>
    <row r="1734" spans="1:20">
      <c r="A1734" s="671"/>
      <c r="B1734" s="677"/>
      <c r="C1734" s="672"/>
      <c r="D1734" s="672" t="s">
        <v>777</v>
      </c>
      <c r="E1734" s="675" t="s">
        <v>2602</v>
      </c>
      <c r="F1734" s="675"/>
      <c r="G1734" s="672"/>
      <c r="H1734" s="676"/>
      <c r="Q1734" s="711"/>
      <c r="S1734" s="670"/>
    </row>
    <row r="1735" spans="1:20">
      <c r="A1735" s="671"/>
      <c r="B1735" s="677"/>
      <c r="C1735" s="672"/>
      <c r="D1735" s="672"/>
      <c r="E1735" s="676" t="s">
        <v>2603</v>
      </c>
      <c r="F1735" s="675"/>
      <c r="G1735" s="672"/>
      <c r="H1735" s="676"/>
      <c r="Q1735" s="711"/>
      <c r="S1735" s="670"/>
    </row>
    <row r="1736" spans="1:20">
      <c r="A1736" s="679">
        <v>1112232</v>
      </c>
      <c r="B1736" s="677"/>
      <c r="C1736" s="672"/>
      <c r="D1736" s="672"/>
      <c r="E1736" s="676" t="s">
        <v>2215</v>
      </c>
      <c r="F1736" s="680" t="s">
        <v>2604</v>
      </c>
      <c r="G1736" s="710">
        <v>111</v>
      </c>
      <c r="H1736" s="682">
        <v>2232</v>
      </c>
      <c r="J1736" s="668" t="str">
        <f t="shared" ref="J1736:J1742" si="298">E1736</f>
        <v>(a) Director/Supervisors</v>
      </c>
      <c r="L1736" s="668">
        <v>81</v>
      </c>
      <c r="M1736" s="669">
        <v>76</v>
      </c>
      <c r="N1736" s="668"/>
      <c r="O1736" s="668">
        <v>14</v>
      </c>
      <c r="P1736" s="668" t="str">
        <f>IFERROR(VLOOKUP(F1736, [2]MOE!B:C, 2, FALSE), "No")</f>
        <v>YES</v>
      </c>
      <c r="Q1736" s="711" t="s">
        <v>1004</v>
      </c>
      <c r="S1736" s="670" t="s">
        <v>2605</v>
      </c>
      <c r="T1736" s="668" t="s">
        <v>2218</v>
      </c>
    </row>
    <row r="1737" spans="1:20">
      <c r="A1737" s="679">
        <v>1122232</v>
      </c>
      <c r="B1737" s="677"/>
      <c r="C1737" s="672"/>
      <c r="D1737" s="672"/>
      <c r="E1737" s="676" t="s">
        <v>2554</v>
      </c>
      <c r="F1737" s="680" t="s">
        <v>2606</v>
      </c>
      <c r="G1737" s="710">
        <v>112</v>
      </c>
      <c r="H1737" s="682">
        <v>2232</v>
      </c>
      <c r="J1737" s="668" t="str">
        <f t="shared" si="298"/>
        <v>(b) Staff Instructors</v>
      </c>
      <c r="L1737" s="668">
        <v>82</v>
      </c>
      <c r="M1737" s="669">
        <v>77</v>
      </c>
      <c r="N1737" s="668"/>
      <c r="O1737" s="668">
        <v>14</v>
      </c>
      <c r="P1737" s="668" t="str">
        <f>IFERROR(VLOOKUP(F1737, [2]MOE!B:C, 2, FALSE), "No")</f>
        <v>YES</v>
      </c>
      <c r="Q1737" s="711" t="s">
        <v>1004</v>
      </c>
      <c r="S1737" s="670" t="s">
        <v>2605</v>
      </c>
      <c r="T1737" s="668" t="s">
        <v>2556</v>
      </c>
    </row>
    <row r="1738" spans="1:20">
      <c r="A1738" s="679">
        <v>1132232</v>
      </c>
      <c r="B1738" s="677"/>
      <c r="C1738" s="672"/>
      <c r="D1738" s="672"/>
      <c r="E1738" s="676" t="s">
        <v>2557</v>
      </c>
      <c r="F1738" s="680" t="s">
        <v>2607</v>
      </c>
      <c r="G1738" s="710">
        <v>113</v>
      </c>
      <c r="H1738" s="682">
        <v>2232</v>
      </c>
      <c r="J1738" s="668" t="str">
        <f t="shared" si="298"/>
        <v>(c) Specialists</v>
      </c>
      <c r="L1738" s="668">
        <v>83</v>
      </c>
      <c r="M1738" s="669">
        <v>78</v>
      </c>
      <c r="N1738" s="668"/>
      <c r="O1738" s="668">
        <v>14</v>
      </c>
      <c r="P1738" s="668" t="str">
        <f>IFERROR(VLOOKUP(F1738, [2]MOE!B:C, 2, FALSE), "No")</f>
        <v>YES</v>
      </c>
      <c r="Q1738" s="711" t="s">
        <v>1004</v>
      </c>
      <c r="S1738" s="670" t="s">
        <v>2605</v>
      </c>
      <c r="T1738" s="668" t="s">
        <v>2221</v>
      </c>
    </row>
    <row r="1739" spans="1:20">
      <c r="A1739" s="679">
        <v>1002232</v>
      </c>
      <c r="B1739" s="677"/>
      <c r="C1739" s="672"/>
      <c r="D1739" s="672"/>
      <c r="E1739" s="676" t="s">
        <v>2224</v>
      </c>
      <c r="F1739" s="680" t="s">
        <v>2608</v>
      </c>
      <c r="G1739" s="710">
        <v>100</v>
      </c>
      <c r="H1739" s="682">
        <v>2232</v>
      </c>
      <c r="J1739" s="668" t="str">
        <f t="shared" si="298"/>
        <v>(d) Other Salaries</v>
      </c>
      <c r="L1739" s="668">
        <v>86</v>
      </c>
      <c r="M1739" s="669">
        <v>81</v>
      </c>
      <c r="N1739" s="668"/>
      <c r="O1739" s="668">
        <v>14</v>
      </c>
      <c r="P1739" s="668" t="str">
        <f>IFERROR(VLOOKUP(F1739, [2]MOE!B:C, 2, FALSE), "No")</f>
        <v>YES</v>
      </c>
      <c r="Q1739" s="711" t="s">
        <v>1004</v>
      </c>
      <c r="S1739" s="670" t="s">
        <v>2605</v>
      </c>
      <c r="T1739" s="668" t="s">
        <v>1947</v>
      </c>
    </row>
    <row r="1740" spans="1:20">
      <c r="A1740" s="679">
        <v>1402232</v>
      </c>
      <c r="B1740" s="677"/>
      <c r="C1740" s="672"/>
      <c r="D1740" s="672"/>
      <c r="E1740" s="676" t="s">
        <v>2226</v>
      </c>
      <c r="F1740" s="680" t="s">
        <v>2609</v>
      </c>
      <c r="G1740" s="710">
        <v>140</v>
      </c>
      <c r="H1740" s="682">
        <v>2232</v>
      </c>
      <c r="J1740" s="668" t="str">
        <f t="shared" si="298"/>
        <v>(e) Sabbatical Leave</v>
      </c>
      <c r="L1740" s="668">
        <v>86</v>
      </c>
      <c r="M1740" s="669">
        <v>81</v>
      </c>
      <c r="N1740" s="668"/>
      <c r="O1740" s="668">
        <v>14</v>
      </c>
      <c r="P1740" s="668" t="str">
        <f>IFERROR(VLOOKUP(F1740, [2]MOE!B:C, 2, FALSE), "No")</f>
        <v>YES</v>
      </c>
      <c r="Q1740" s="711" t="s">
        <v>1004</v>
      </c>
      <c r="S1740" s="670" t="s">
        <v>2605</v>
      </c>
      <c r="T1740" s="668" t="s">
        <v>1019</v>
      </c>
    </row>
    <row r="1741" spans="1:20">
      <c r="A1741" s="679">
        <v>1502232</v>
      </c>
      <c r="B1741" s="677"/>
      <c r="C1741" s="672"/>
      <c r="D1741" s="672"/>
      <c r="E1741" s="676" t="s">
        <v>2561</v>
      </c>
      <c r="F1741" s="680" t="s">
        <v>2610</v>
      </c>
      <c r="G1741" s="710">
        <v>150</v>
      </c>
      <c r="H1741" s="682">
        <v>2232</v>
      </c>
      <c r="J1741" s="668" t="str">
        <f t="shared" si="298"/>
        <v>(f) Stipend Pay</v>
      </c>
      <c r="L1741" s="668">
        <v>86</v>
      </c>
      <c r="M1741" s="669">
        <v>81</v>
      </c>
      <c r="N1741" s="668"/>
      <c r="O1741" s="668">
        <v>14</v>
      </c>
      <c r="P1741" s="668" t="str">
        <f>IFERROR(VLOOKUP(F1741, [2]MOE!B:C, 2, FALSE), "No")</f>
        <v>YES</v>
      </c>
      <c r="Q1741" s="711" t="s">
        <v>1004</v>
      </c>
      <c r="S1741" s="670" t="s">
        <v>2605</v>
      </c>
      <c r="T1741" s="668" t="s">
        <v>2563</v>
      </c>
    </row>
    <row r="1742" spans="1:20">
      <c r="A1742" s="679">
        <v>3002232</v>
      </c>
      <c r="B1742" s="719"/>
      <c r="C1742" s="681"/>
      <c r="D1742" s="681"/>
      <c r="E1742" s="686" t="s">
        <v>2564</v>
      </c>
      <c r="F1742" s="680" t="s">
        <v>2611</v>
      </c>
      <c r="G1742" s="710">
        <v>300</v>
      </c>
      <c r="H1742" s="682">
        <v>2232</v>
      </c>
      <c r="J1742" s="668" t="str">
        <f t="shared" si="298"/>
        <v>(2) Purchased Professional and Tech Svcs</v>
      </c>
      <c r="L1742" s="668">
        <v>101</v>
      </c>
      <c r="M1742" s="669">
        <v>96</v>
      </c>
      <c r="N1742" s="668"/>
      <c r="O1742" s="668">
        <v>14</v>
      </c>
      <c r="P1742" s="668" t="str">
        <f>IFERROR(VLOOKUP(F1742, [2]MOE!B:C, 2, FALSE), "No")</f>
        <v>YES</v>
      </c>
      <c r="Q1742" s="711"/>
      <c r="S1742" s="670" t="s">
        <v>2605</v>
      </c>
      <c r="T1742" s="668" t="s">
        <v>2566</v>
      </c>
    </row>
    <row r="1743" spans="1:20">
      <c r="A1743" s="671"/>
      <c r="B1743" s="677"/>
      <c r="C1743" s="672"/>
      <c r="D1743" s="672"/>
      <c r="E1743" s="676" t="s">
        <v>2231</v>
      </c>
      <c r="F1743" s="675"/>
      <c r="G1743" s="672"/>
      <c r="H1743" s="676"/>
      <c r="Q1743" s="711"/>
      <c r="S1743" s="670"/>
    </row>
    <row r="1744" spans="1:20">
      <c r="A1744" s="679">
        <v>4302232</v>
      </c>
      <c r="B1744" s="677"/>
      <c r="C1744" s="672"/>
      <c r="D1744" s="672"/>
      <c r="E1744" s="676" t="s">
        <v>2232</v>
      </c>
      <c r="F1744" s="680" t="s">
        <v>2612</v>
      </c>
      <c r="G1744" s="710">
        <v>430</v>
      </c>
      <c r="H1744" s="682">
        <v>2232</v>
      </c>
      <c r="J1744" s="668" t="str">
        <f t="shared" ref="J1744:J1746" si="299">E1744</f>
        <v>(a) Repairs and Maintenance Services</v>
      </c>
      <c r="L1744" s="668">
        <v>107</v>
      </c>
      <c r="M1744" s="669">
        <v>102</v>
      </c>
      <c r="N1744" s="668"/>
      <c r="O1744" s="668">
        <v>14</v>
      </c>
      <c r="P1744" s="668" t="str">
        <f>IFERROR(VLOOKUP(F1744, [2]MOE!B:C, 2, FALSE), "No")</f>
        <v>YES</v>
      </c>
      <c r="Q1744" s="711"/>
      <c r="S1744" s="670" t="s">
        <v>2605</v>
      </c>
      <c r="T1744" s="668" t="s">
        <v>1023</v>
      </c>
    </row>
    <row r="1745" spans="1:20">
      <c r="A1745" s="679">
        <v>4422232</v>
      </c>
      <c r="B1745" s="677"/>
      <c r="C1745" s="672"/>
      <c r="D1745" s="672"/>
      <c r="E1745" s="676" t="s">
        <v>2234</v>
      </c>
      <c r="F1745" s="680" t="s">
        <v>2613</v>
      </c>
      <c r="G1745" s="710">
        <v>442</v>
      </c>
      <c r="H1745" s="682">
        <v>2232</v>
      </c>
      <c r="J1745" s="668" t="str">
        <f t="shared" si="299"/>
        <v>(b) Rental of Equipment</v>
      </c>
      <c r="L1745" s="668">
        <v>106</v>
      </c>
      <c r="M1745" s="669">
        <v>101</v>
      </c>
      <c r="N1745" s="668"/>
      <c r="O1745" s="668">
        <v>14</v>
      </c>
      <c r="P1745" s="668" t="str">
        <f>IFERROR(VLOOKUP(F1745, [2]MOE!B:C, 2, FALSE), "No")</f>
        <v>YES</v>
      </c>
      <c r="Q1745" s="711"/>
      <c r="S1745" s="670" t="s">
        <v>2605</v>
      </c>
      <c r="T1745" s="668" t="s">
        <v>1025</v>
      </c>
    </row>
    <row r="1746" spans="1:20">
      <c r="A1746" s="679">
        <v>4002232</v>
      </c>
      <c r="B1746" s="677"/>
      <c r="C1746" s="672"/>
      <c r="D1746" s="672"/>
      <c r="E1746" s="676" t="s">
        <v>2236</v>
      </c>
      <c r="F1746" s="680" t="s">
        <v>2614</v>
      </c>
      <c r="G1746" s="710">
        <v>400</v>
      </c>
      <c r="H1746" s="682">
        <v>2232</v>
      </c>
      <c r="J1746" s="668" t="str">
        <f t="shared" si="299"/>
        <v>(c) Other Purchased Property Svcs</v>
      </c>
      <c r="L1746" s="668">
        <v>108</v>
      </c>
      <c r="M1746" s="669">
        <v>103</v>
      </c>
      <c r="N1746" s="668"/>
      <c r="O1746" s="668">
        <v>14</v>
      </c>
      <c r="P1746" s="668" t="str">
        <f>IFERROR(VLOOKUP(F1746, [2]MOE!B:C, 2, FALSE), "No")</f>
        <v>YES</v>
      </c>
      <c r="Q1746" s="711"/>
      <c r="S1746" s="670" t="s">
        <v>2605</v>
      </c>
      <c r="T1746" s="668" t="s">
        <v>2238</v>
      </c>
    </row>
    <row r="1747" spans="1:20">
      <c r="A1747" s="671"/>
      <c r="B1747" s="677"/>
      <c r="C1747" s="672"/>
      <c r="D1747" s="672"/>
      <c r="E1747" s="676" t="s">
        <v>1395</v>
      </c>
      <c r="F1747" s="675"/>
      <c r="G1747" s="672"/>
      <c r="H1747" s="676"/>
      <c r="Q1747" s="711"/>
      <c r="S1747" s="670"/>
    </row>
    <row r="1748" spans="1:20">
      <c r="A1748" s="679">
        <v>5822232</v>
      </c>
      <c r="B1748" s="677"/>
      <c r="C1748" s="672"/>
      <c r="D1748" s="672"/>
      <c r="E1748" s="676" t="s">
        <v>2239</v>
      </c>
      <c r="F1748" s="680" t="s">
        <v>2615</v>
      </c>
      <c r="G1748" s="710">
        <v>582</v>
      </c>
      <c r="H1748" s="682">
        <v>2232</v>
      </c>
      <c r="J1748" s="668" t="str">
        <f t="shared" ref="J1748:J1749" si="300">E1748</f>
        <v>(a) Travel Expense Reimbursement</v>
      </c>
      <c r="L1748" s="668">
        <v>118</v>
      </c>
      <c r="M1748" s="669">
        <v>109</v>
      </c>
      <c r="N1748" s="668"/>
      <c r="O1748" s="668">
        <v>14</v>
      </c>
      <c r="P1748" s="668" t="str">
        <f>IFERROR(VLOOKUP(F1748, [2]MOE!B:C, 2, FALSE), "No")</f>
        <v>YES</v>
      </c>
      <c r="Q1748" s="711"/>
      <c r="S1748" s="670" t="s">
        <v>2605</v>
      </c>
      <c r="T1748" s="668" t="s">
        <v>1039</v>
      </c>
    </row>
    <row r="1749" spans="1:20">
      <c r="A1749" s="679">
        <v>5002232</v>
      </c>
      <c r="B1749" s="677"/>
      <c r="C1749" s="672"/>
      <c r="D1749" s="672"/>
      <c r="E1749" s="676" t="s">
        <v>2241</v>
      </c>
      <c r="F1749" s="680" t="s">
        <v>2616</v>
      </c>
      <c r="G1749" s="710">
        <v>500</v>
      </c>
      <c r="H1749" s="682">
        <v>2232</v>
      </c>
      <c r="J1749" s="668" t="str">
        <f t="shared" si="300"/>
        <v>(b) Other Purchased Services</v>
      </c>
      <c r="L1749" s="668">
        <v>119</v>
      </c>
      <c r="M1749" s="669">
        <v>110</v>
      </c>
      <c r="N1749" s="668"/>
      <c r="O1749" s="668">
        <v>14</v>
      </c>
      <c r="P1749" s="668" t="str">
        <f>IFERROR(VLOOKUP(F1749, [2]MOE!B:C, 2, FALSE), "No")</f>
        <v>YES</v>
      </c>
      <c r="Q1749" s="711"/>
      <c r="S1749" s="670" t="s">
        <v>2605</v>
      </c>
      <c r="T1749" s="668" t="s">
        <v>252</v>
      </c>
    </row>
    <row r="1750" spans="1:20">
      <c r="A1750" s="671"/>
      <c r="B1750" s="677"/>
      <c r="C1750" s="672"/>
      <c r="D1750" s="672"/>
      <c r="E1750" s="676" t="s">
        <v>2243</v>
      </c>
      <c r="F1750" s="675"/>
      <c r="G1750" s="672"/>
      <c r="H1750" s="676"/>
      <c r="Q1750" s="711"/>
      <c r="S1750" s="670"/>
    </row>
    <row r="1751" spans="1:20">
      <c r="A1751" s="679">
        <v>6152232</v>
      </c>
      <c r="B1751" s="677"/>
      <c r="C1751" s="672"/>
      <c r="D1751" s="672"/>
      <c r="E1751" s="676" t="s">
        <v>2244</v>
      </c>
      <c r="F1751" s="680" t="s">
        <v>2617</v>
      </c>
      <c r="G1751" s="710">
        <v>615</v>
      </c>
      <c r="H1751" s="682">
        <v>2232</v>
      </c>
      <c r="J1751" s="668" t="str">
        <f t="shared" ref="J1751:J1753" si="301">E1751</f>
        <v>(a) Technology-Related Supplies</v>
      </c>
      <c r="L1751" s="668">
        <v>126</v>
      </c>
      <c r="M1751" s="669">
        <v>117</v>
      </c>
      <c r="N1751" s="668"/>
      <c r="O1751" s="668">
        <v>14</v>
      </c>
      <c r="P1751" s="668" t="str">
        <f>IFERROR(VLOOKUP(F1751, [2]MOE!B:C, 2, FALSE), "No")</f>
        <v>YES</v>
      </c>
      <c r="Q1751" s="711" t="s">
        <v>1045</v>
      </c>
      <c r="S1751" s="670" t="s">
        <v>2605</v>
      </c>
      <c r="T1751" s="668" t="s">
        <v>1043</v>
      </c>
    </row>
    <row r="1752" spans="1:20">
      <c r="A1752" s="679">
        <v>6102232</v>
      </c>
      <c r="B1752" s="677"/>
      <c r="C1752" s="672"/>
      <c r="D1752" s="672"/>
      <c r="E1752" s="676" t="s">
        <v>2246</v>
      </c>
      <c r="F1752" s="680" t="s">
        <v>2618</v>
      </c>
      <c r="G1752" s="710">
        <v>610</v>
      </c>
      <c r="H1752" s="682">
        <v>2232</v>
      </c>
      <c r="J1752" s="668" t="str">
        <f t="shared" si="301"/>
        <v>(b) Materials and Supplies</v>
      </c>
      <c r="L1752" s="668">
        <v>122</v>
      </c>
      <c r="M1752" s="669">
        <v>113</v>
      </c>
      <c r="N1752" s="668"/>
      <c r="O1752" s="668">
        <v>14</v>
      </c>
      <c r="P1752" s="668" t="str">
        <f>IFERROR(VLOOKUP(F1752, [2]MOE!B:C, 2, FALSE), "No")</f>
        <v>YES</v>
      </c>
      <c r="Q1752" s="711" t="s">
        <v>1045</v>
      </c>
      <c r="S1752" s="670" t="s">
        <v>2605</v>
      </c>
      <c r="T1752" s="668" t="s">
        <v>39</v>
      </c>
    </row>
    <row r="1753" spans="1:20">
      <c r="A1753" s="679">
        <v>6002232</v>
      </c>
      <c r="B1753" s="677"/>
      <c r="C1753" s="672"/>
      <c r="D1753" s="672"/>
      <c r="E1753" s="676" t="s">
        <v>2248</v>
      </c>
      <c r="F1753" s="680" t="s">
        <v>2619</v>
      </c>
      <c r="G1753" s="710">
        <v>600</v>
      </c>
      <c r="H1753" s="682">
        <v>2232</v>
      </c>
      <c r="J1753" s="668" t="str">
        <f t="shared" si="301"/>
        <v>(c) Other Supplies</v>
      </c>
      <c r="L1753" s="668">
        <v>126</v>
      </c>
      <c r="M1753" s="669">
        <v>117</v>
      </c>
      <c r="N1753" s="668"/>
      <c r="O1753" s="668">
        <v>14</v>
      </c>
      <c r="P1753" s="668" t="str">
        <f>IFERROR(VLOOKUP(F1753, [2]MOE!B:C, 2, FALSE), "No")</f>
        <v>YES</v>
      </c>
      <c r="Q1753" s="711"/>
      <c r="S1753" s="670" t="s">
        <v>2605</v>
      </c>
      <c r="T1753" s="668" t="s">
        <v>1050</v>
      </c>
    </row>
    <row r="1754" spans="1:20">
      <c r="A1754" s="671"/>
      <c r="B1754" s="677"/>
      <c r="C1754" s="672"/>
      <c r="D1754" s="672"/>
      <c r="E1754" s="676" t="s">
        <v>2250</v>
      </c>
      <c r="F1754" s="675"/>
      <c r="G1754" s="672"/>
      <c r="H1754" s="676"/>
      <c r="Q1754" s="711"/>
      <c r="S1754" s="670"/>
    </row>
    <row r="1755" spans="1:20">
      <c r="A1755" s="679">
        <v>7342232</v>
      </c>
      <c r="B1755" s="677"/>
      <c r="C1755" s="672"/>
      <c r="D1755" s="672"/>
      <c r="E1755" s="676" t="s">
        <v>2251</v>
      </c>
      <c r="F1755" s="680" t="s">
        <v>2620</v>
      </c>
      <c r="G1755" s="710">
        <v>734</v>
      </c>
      <c r="H1755" s="682">
        <v>2232</v>
      </c>
      <c r="J1755" s="668" t="str">
        <f t="shared" ref="J1755:J1758" si="302">E1755</f>
        <v>(a) Technology-Related Hardware</v>
      </c>
      <c r="L1755" s="668">
        <v>131</v>
      </c>
      <c r="M1755" s="669">
        <v>122</v>
      </c>
      <c r="N1755" s="668"/>
      <c r="O1755" s="668">
        <v>14</v>
      </c>
      <c r="P1755" s="668" t="str">
        <f>IFERROR(VLOOKUP(F1755, [2]MOE!B:C, 2, FALSE), "No")</f>
        <v>No</v>
      </c>
      <c r="Q1755" s="711"/>
      <c r="S1755" s="670" t="s">
        <v>2605</v>
      </c>
      <c r="T1755" s="668" t="s">
        <v>1053</v>
      </c>
    </row>
    <row r="1756" spans="1:20">
      <c r="A1756" s="679">
        <v>7352232</v>
      </c>
      <c r="B1756" s="677"/>
      <c r="C1756" s="672"/>
      <c r="D1756" s="672"/>
      <c r="E1756" s="676" t="s">
        <v>2253</v>
      </c>
      <c r="F1756" s="680" t="s">
        <v>2621</v>
      </c>
      <c r="G1756" s="710">
        <v>735</v>
      </c>
      <c r="H1756" s="682">
        <v>2232</v>
      </c>
      <c r="J1756" s="668" t="str">
        <f t="shared" si="302"/>
        <v>(b) Technology Software</v>
      </c>
      <c r="L1756" s="668">
        <v>131</v>
      </c>
      <c r="M1756" s="669">
        <v>122</v>
      </c>
      <c r="N1756" s="668"/>
      <c r="O1756" s="668">
        <v>14</v>
      </c>
      <c r="P1756" s="668" t="str">
        <f>IFERROR(VLOOKUP(F1756, [2]MOE!B:C, 2, FALSE), "No")</f>
        <v>No</v>
      </c>
      <c r="Q1756" s="711"/>
      <c r="S1756" s="670" t="s">
        <v>2605</v>
      </c>
      <c r="T1756" s="668" t="s">
        <v>1055</v>
      </c>
    </row>
    <row r="1757" spans="1:20">
      <c r="A1757" s="679">
        <v>7302232</v>
      </c>
      <c r="B1757" s="677"/>
      <c r="C1757" s="672"/>
      <c r="D1757" s="672"/>
      <c r="E1757" s="676" t="s">
        <v>2255</v>
      </c>
      <c r="F1757" s="680" t="s">
        <v>2622</v>
      </c>
      <c r="G1757" s="710">
        <v>730</v>
      </c>
      <c r="H1757" s="682">
        <v>2232</v>
      </c>
      <c r="J1757" s="668" t="str">
        <f t="shared" si="302"/>
        <v>(c) All Other Equipment</v>
      </c>
      <c r="L1757" s="668">
        <v>131</v>
      </c>
      <c r="M1757" s="669">
        <v>122</v>
      </c>
      <c r="N1757" s="668"/>
      <c r="O1757" s="668">
        <v>14</v>
      </c>
      <c r="P1757" s="668" t="str">
        <f>IFERROR(VLOOKUP(F1757, [2]MOE!B:C, 2, FALSE), "No")</f>
        <v>No</v>
      </c>
      <c r="Q1757" s="711"/>
      <c r="S1757" s="670" t="s">
        <v>2605</v>
      </c>
      <c r="T1757" s="668" t="s">
        <v>1057</v>
      </c>
    </row>
    <row r="1758" spans="1:20">
      <c r="A1758" s="679">
        <v>7002232</v>
      </c>
      <c r="B1758" s="677"/>
      <c r="C1758" s="672"/>
      <c r="D1758" s="672"/>
      <c r="E1758" s="676" t="s">
        <v>2257</v>
      </c>
      <c r="F1758" s="680" t="s">
        <v>2623</v>
      </c>
      <c r="G1758" s="710">
        <v>700</v>
      </c>
      <c r="H1758" s="682">
        <v>2232</v>
      </c>
      <c r="J1758" s="668" t="str">
        <f t="shared" si="302"/>
        <v>(d) Other Property</v>
      </c>
      <c r="L1758" s="668">
        <v>132</v>
      </c>
      <c r="M1758" s="669">
        <v>123</v>
      </c>
      <c r="N1758" s="668"/>
      <c r="O1758" s="668">
        <v>14</v>
      </c>
      <c r="P1758" s="668" t="str">
        <f>IFERROR(VLOOKUP(F1758, [2]MOE!B:C, 2, FALSE), "No")</f>
        <v>No</v>
      </c>
      <c r="Q1758" s="711"/>
      <c r="S1758" s="670" t="s">
        <v>2605</v>
      </c>
      <c r="T1758" s="668" t="s">
        <v>1059</v>
      </c>
    </row>
    <row r="1759" spans="1:20">
      <c r="A1759" s="671"/>
      <c r="B1759" s="677"/>
      <c r="C1759" s="672"/>
      <c r="D1759" s="672"/>
      <c r="E1759" s="676" t="s">
        <v>2259</v>
      </c>
      <c r="F1759" s="675"/>
      <c r="G1759" s="672"/>
      <c r="H1759" s="676"/>
      <c r="Q1759" s="711"/>
      <c r="S1759" s="670"/>
    </row>
    <row r="1760" spans="1:20">
      <c r="A1760" s="679">
        <v>8952232</v>
      </c>
      <c r="B1760" s="677"/>
      <c r="C1760" s="672"/>
      <c r="D1760" s="672"/>
      <c r="E1760" s="676" t="s">
        <v>2260</v>
      </c>
      <c r="F1760" s="680" t="s">
        <v>2624</v>
      </c>
      <c r="G1760" s="710">
        <v>895</v>
      </c>
      <c r="H1760" s="682">
        <v>2232</v>
      </c>
      <c r="J1760" s="668" t="str">
        <f t="shared" ref="J1760:J1761" si="303">E1760</f>
        <v>(a) Misc. Non-Public Expenditures</v>
      </c>
      <c r="L1760" s="668">
        <v>139</v>
      </c>
      <c r="M1760" s="669">
        <v>129</v>
      </c>
      <c r="N1760" s="668"/>
      <c r="O1760" s="668">
        <v>14</v>
      </c>
      <c r="P1760" s="668" t="str">
        <f>IFERROR(VLOOKUP(F1760, [2]MOE!B:C, 2, FALSE), "No")</f>
        <v>YES</v>
      </c>
      <c r="Q1760" s="711"/>
      <c r="S1760" s="670" t="s">
        <v>2605</v>
      </c>
      <c r="T1760" s="668" t="s">
        <v>2262</v>
      </c>
    </row>
    <row r="1761" spans="1:20">
      <c r="A1761" s="679">
        <v>8002232</v>
      </c>
      <c r="B1761" s="677"/>
      <c r="C1761" s="672"/>
      <c r="D1761" s="672"/>
      <c r="E1761" s="676" t="s">
        <v>2263</v>
      </c>
      <c r="F1761" s="680" t="s">
        <v>2625</v>
      </c>
      <c r="G1761" s="710">
        <v>800</v>
      </c>
      <c r="H1761" s="682">
        <v>2232</v>
      </c>
      <c r="J1761" s="668" t="str">
        <f t="shared" si="303"/>
        <v>(b) Other Miscellaneous Expenditures</v>
      </c>
      <c r="L1761" s="668">
        <v>139</v>
      </c>
      <c r="M1761" s="669">
        <v>129</v>
      </c>
      <c r="N1761" s="668"/>
      <c r="O1761" s="668">
        <v>14</v>
      </c>
      <c r="P1761" s="668" t="str">
        <f>IFERROR(VLOOKUP(F1761, [2]MOE!B:C, 2, FALSE), "No")</f>
        <v>YES</v>
      </c>
      <c r="Q1761" s="711"/>
      <c r="S1761" s="670" t="s">
        <v>2605</v>
      </c>
      <c r="T1761" s="668" t="s">
        <v>1063</v>
      </c>
    </row>
    <row r="1762" spans="1:20">
      <c r="A1762" s="671"/>
      <c r="B1762" s="677"/>
      <c r="C1762" s="672"/>
      <c r="D1762" s="672"/>
      <c r="E1762" s="676" t="s">
        <v>2265</v>
      </c>
      <c r="F1762" s="675"/>
      <c r="G1762" s="672"/>
      <c r="H1762" s="676"/>
      <c r="Q1762" s="711"/>
      <c r="S1762" s="670"/>
    </row>
    <row r="1763" spans="1:20">
      <c r="A1763" s="679">
        <v>2102232</v>
      </c>
      <c r="B1763" s="677"/>
      <c r="C1763" s="672"/>
      <c r="D1763" s="672"/>
      <c r="E1763" s="676" t="s">
        <v>2266</v>
      </c>
      <c r="F1763" s="680" t="s">
        <v>2626</v>
      </c>
      <c r="G1763" s="710">
        <v>210</v>
      </c>
      <c r="H1763" s="682">
        <v>2232</v>
      </c>
      <c r="J1763" s="668" t="str">
        <f t="shared" ref="J1763:J1765" si="304">E1763</f>
        <v>(a) Group Insurance</v>
      </c>
      <c r="L1763" s="668">
        <v>89</v>
      </c>
      <c r="M1763" s="669">
        <v>84</v>
      </c>
      <c r="N1763" s="668"/>
      <c r="O1763" s="668">
        <v>14</v>
      </c>
      <c r="P1763" s="668" t="str">
        <f>IFERROR(VLOOKUP(F1763, [2]MOE!B:C, 2, FALSE), "No")</f>
        <v>YES</v>
      </c>
      <c r="Q1763" s="711" t="s">
        <v>1004</v>
      </c>
      <c r="S1763" s="670" t="s">
        <v>2605</v>
      </c>
      <c r="T1763" s="668" t="s">
        <v>1066</v>
      </c>
    </row>
    <row r="1764" spans="1:20">
      <c r="A1764" s="679">
        <v>2202232</v>
      </c>
      <c r="B1764" s="677"/>
      <c r="C1764" s="672"/>
      <c r="D1764" s="672"/>
      <c r="E1764" s="676" t="s">
        <v>2268</v>
      </c>
      <c r="F1764" s="680" t="s">
        <v>2627</v>
      </c>
      <c r="G1764" s="710">
        <v>220</v>
      </c>
      <c r="H1764" s="682">
        <v>2232</v>
      </c>
      <c r="J1764" s="668" t="str">
        <f t="shared" si="304"/>
        <v>(b) FICA</v>
      </c>
      <c r="L1764" s="668">
        <v>90</v>
      </c>
      <c r="M1764" s="669">
        <v>85</v>
      </c>
      <c r="N1764" s="668"/>
      <c r="O1764" s="668">
        <v>14</v>
      </c>
      <c r="P1764" s="668" t="str">
        <f>IFERROR(VLOOKUP(F1764, [2]MOE!B:C, 2, FALSE), "No")</f>
        <v>YES</v>
      </c>
      <c r="Q1764" s="711" t="s">
        <v>1004</v>
      </c>
      <c r="S1764" s="670" t="s">
        <v>2605</v>
      </c>
      <c r="T1764" s="668" t="s">
        <v>1068</v>
      </c>
    </row>
    <row r="1765" spans="1:20">
      <c r="A1765" s="679">
        <v>2252232</v>
      </c>
      <c r="B1765" s="677"/>
      <c r="C1765" s="672"/>
      <c r="D1765" s="672"/>
      <c r="E1765" s="676" t="s">
        <v>2270</v>
      </c>
      <c r="F1765" s="680" t="s">
        <v>2628</v>
      </c>
      <c r="G1765" s="710">
        <v>225</v>
      </c>
      <c r="H1765" s="682">
        <v>2232</v>
      </c>
      <c r="J1765" s="668" t="str">
        <f t="shared" si="304"/>
        <v>(c) Medicare</v>
      </c>
      <c r="L1765" s="668">
        <v>91</v>
      </c>
      <c r="M1765" s="669">
        <v>86</v>
      </c>
      <c r="N1765" s="668"/>
      <c r="O1765" s="668">
        <v>14</v>
      </c>
      <c r="P1765" s="668" t="str">
        <f>IFERROR(VLOOKUP(F1765, [2]MOE!B:C, 2, FALSE), "No")</f>
        <v>YES</v>
      </c>
      <c r="Q1765" s="711" t="s">
        <v>1004</v>
      </c>
      <c r="S1765" s="670" t="s">
        <v>2605</v>
      </c>
      <c r="T1765" s="668" t="s">
        <v>23</v>
      </c>
    </row>
    <row r="1766" spans="1:20">
      <c r="A1766" s="671"/>
      <c r="B1766" s="677"/>
      <c r="C1766" s="672"/>
      <c r="D1766" s="672"/>
      <c r="E1766" s="676" t="s">
        <v>2272</v>
      </c>
      <c r="F1766" s="675"/>
      <c r="G1766" s="672"/>
      <c r="H1766" s="676"/>
      <c r="Q1766" s="711"/>
      <c r="S1766" s="670"/>
    </row>
    <row r="1767" spans="1:20">
      <c r="A1767" s="679">
        <v>2312232</v>
      </c>
      <c r="B1767" s="677"/>
      <c r="C1767" s="672"/>
      <c r="D1767" s="672"/>
      <c r="E1767" s="676" t="s">
        <v>2273</v>
      </c>
      <c r="F1767" s="680" t="s">
        <v>2629</v>
      </c>
      <c r="G1767" s="710">
        <v>231</v>
      </c>
      <c r="H1767" s="682">
        <v>2232</v>
      </c>
      <c r="J1767" s="668" t="str">
        <f t="shared" ref="J1767:J1776" si="305">E1767</f>
        <v>1) Louisiana Teachers Retirement</v>
      </c>
      <c r="L1767" s="668">
        <v>92</v>
      </c>
      <c r="M1767" s="669">
        <v>87</v>
      </c>
      <c r="N1767" s="668"/>
      <c r="O1767" s="668">
        <v>14</v>
      </c>
      <c r="P1767" s="668" t="str">
        <f>IFERROR(VLOOKUP(F1767, [2]MOE!B:C, 2, FALSE), "No")</f>
        <v>YES</v>
      </c>
      <c r="Q1767" s="711" t="s">
        <v>1004</v>
      </c>
      <c r="S1767" s="670" t="s">
        <v>2605</v>
      </c>
      <c r="T1767" s="668" t="s">
        <v>1074</v>
      </c>
    </row>
    <row r="1768" spans="1:20">
      <c r="A1768" s="679">
        <v>2332232</v>
      </c>
      <c r="B1768" s="677"/>
      <c r="C1768" s="672"/>
      <c r="D1768" s="672"/>
      <c r="E1768" s="676" t="s">
        <v>2275</v>
      </c>
      <c r="F1768" s="680" t="s">
        <v>2630</v>
      </c>
      <c r="G1768" s="710">
        <v>233</v>
      </c>
      <c r="H1768" s="682">
        <v>2232</v>
      </c>
      <c r="J1768" s="668" t="str">
        <f t="shared" si="305"/>
        <v>2) Louisiana School Emp. Retire.</v>
      </c>
      <c r="L1768" s="668">
        <v>92</v>
      </c>
      <c r="M1768" s="669">
        <v>87</v>
      </c>
      <c r="N1768" s="668"/>
      <c r="O1768" s="668">
        <v>14</v>
      </c>
      <c r="P1768" s="668" t="str">
        <f>IFERROR(VLOOKUP(F1768, [2]MOE!B:C, 2, FALSE), "No")</f>
        <v>YES</v>
      </c>
      <c r="Q1768" s="711" t="s">
        <v>1004</v>
      </c>
      <c r="S1768" s="670" t="s">
        <v>2605</v>
      </c>
      <c r="T1768" s="668" t="s">
        <v>2277</v>
      </c>
    </row>
    <row r="1769" spans="1:20">
      <c r="A1769" s="679">
        <v>2392232</v>
      </c>
      <c r="B1769" s="677"/>
      <c r="C1769" s="672"/>
      <c r="D1769" s="672"/>
      <c r="E1769" s="676" t="s">
        <v>2278</v>
      </c>
      <c r="F1769" s="680" t="s">
        <v>2631</v>
      </c>
      <c r="G1769" s="710">
        <v>239</v>
      </c>
      <c r="H1769" s="682">
        <v>2232</v>
      </c>
      <c r="J1769" s="668" t="str">
        <f t="shared" si="305"/>
        <v>3) Other Retirement</v>
      </c>
      <c r="L1769" s="668">
        <v>92</v>
      </c>
      <c r="M1769" s="669">
        <v>87</v>
      </c>
      <c r="N1769" s="668"/>
      <c r="O1769" s="668">
        <v>14</v>
      </c>
      <c r="P1769" s="668" t="str">
        <f>IFERROR(VLOOKUP(F1769, [2]MOE!B:C, 2, FALSE), "No")</f>
        <v>YES</v>
      </c>
      <c r="Q1769" s="711" t="s">
        <v>1004</v>
      </c>
      <c r="S1769" s="670" t="s">
        <v>2605</v>
      </c>
      <c r="T1769" s="668" t="s">
        <v>1080</v>
      </c>
    </row>
    <row r="1770" spans="1:20">
      <c r="A1770" s="679">
        <v>2402232</v>
      </c>
      <c r="B1770" s="677"/>
      <c r="C1770" s="672"/>
      <c r="D1770" s="672"/>
      <c r="E1770" s="676" t="s">
        <v>2587</v>
      </c>
      <c r="F1770" s="680" t="s">
        <v>2632</v>
      </c>
      <c r="G1770" s="710">
        <v>240</v>
      </c>
      <c r="H1770" s="682">
        <v>2232</v>
      </c>
      <c r="J1770" s="668" t="str">
        <f t="shared" si="305"/>
        <v>(e) Educational Reimbursement</v>
      </c>
      <c r="L1770" s="668">
        <v>95</v>
      </c>
      <c r="M1770" s="669">
        <v>90</v>
      </c>
      <c r="N1770" s="668"/>
      <c r="O1770" s="668">
        <v>14</v>
      </c>
      <c r="P1770" s="668" t="str">
        <f>IFERROR(VLOOKUP(F1770, [2]MOE!B:C, 2, FALSE), "No")</f>
        <v>YES</v>
      </c>
      <c r="Q1770" s="711" t="s">
        <v>1004</v>
      </c>
      <c r="S1770" s="670" t="s">
        <v>2605</v>
      </c>
      <c r="T1770" s="668" t="s">
        <v>2589</v>
      </c>
    </row>
    <row r="1771" spans="1:20">
      <c r="A1771" s="679">
        <v>2502232</v>
      </c>
      <c r="B1771" s="677"/>
      <c r="C1771" s="672"/>
      <c r="D1771" s="672"/>
      <c r="E1771" s="676" t="s">
        <v>2590</v>
      </c>
      <c r="F1771" s="680" t="s">
        <v>2633</v>
      </c>
      <c r="G1771" s="710">
        <v>250</v>
      </c>
      <c r="H1771" s="682">
        <v>2232</v>
      </c>
      <c r="J1771" s="668" t="str">
        <f t="shared" si="305"/>
        <v>(f) Unemployment Compensation</v>
      </c>
      <c r="L1771" s="668">
        <v>93</v>
      </c>
      <c r="M1771" s="669">
        <v>88</v>
      </c>
      <c r="N1771" s="668"/>
      <c r="O1771" s="668">
        <v>14</v>
      </c>
      <c r="P1771" s="668" t="str">
        <f>IFERROR(VLOOKUP(F1771, [2]MOE!B:C, 2, FALSE), "No")</f>
        <v>YES</v>
      </c>
      <c r="Q1771" s="711" t="s">
        <v>1004</v>
      </c>
      <c r="S1771" s="670" t="s">
        <v>2605</v>
      </c>
      <c r="T1771" s="668" t="s">
        <v>1081</v>
      </c>
    </row>
    <row r="1772" spans="1:20">
      <c r="A1772" s="679">
        <v>2602232</v>
      </c>
      <c r="B1772" s="677"/>
      <c r="C1772" s="672"/>
      <c r="D1772" s="672"/>
      <c r="E1772" s="676" t="s">
        <v>2592</v>
      </c>
      <c r="F1772" s="680" t="s">
        <v>2634</v>
      </c>
      <c r="G1772" s="710">
        <v>260</v>
      </c>
      <c r="H1772" s="682">
        <v>2232</v>
      </c>
      <c r="J1772" s="668" t="str">
        <f t="shared" si="305"/>
        <v>(g) Workmen's Compensation</v>
      </c>
      <c r="L1772" s="668">
        <v>95</v>
      </c>
      <c r="M1772" s="669">
        <v>90</v>
      </c>
      <c r="N1772" s="668"/>
      <c r="O1772" s="668">
        <v>14</v>
      </c>
      <c r="P1772" s="668" t="str">
        <f>IFERROR(VLOOKUP(F1772, [2]MOE!B:C, 2, FALSE), "No")</f>
        <v>YES</v>
      </c>
      <c r="Q1772" s="711" t="s">
        <v>1004</v>
      </c>
      <c r="S1772" s="670" t="s">
        <v>2605</v>
      </c>
      <c r="T1772" s="668" t="s">
        <v>1083</v>
      </c>
    </row>
    <row r="1773" spans="1:20">
      <c r="A1773" s="679">
        <v>2702232</v>
      </c>
      <c r="B1773" s="677"/>
      <c r="C1773" s="672"/>
      <c r="D1773" s="672"/>
      <c r="E1773" s="676" t="s">
        <v>2594</v>
      </c>
      <c r="F1773" s="680" t="s">
        <v>2635</v>
      </c>
      <c r="G1773" s="710">
        <v>270</v>
      </c>
      <c r="H1773" s="682">
        <v>2232</v>
      </c>
      <c r="J1773" s="668" t="str">
        <f t="shared" si="305"/>
        <v>(h) Health Benefits (retirees)</v>
      </c>
      <c r="L1773" s="668">
        <v>94</v>
      </c>
      <c r="M1773" s="669">
        <v>89</v>
      </c>
      <c r="N1773" s="668"/>
      <c r="O1773" s="668">
        <v>14</v>
      </c>
      <c r="P1773" s="668" t="str">
        <f>IFERROR(VLOOKUP(F1773, [2]MOE!B:C, 2, FALSE), "No")</f>
        <v>YES</v>
      </c>
      <c r="Q1773" s="711" t="s">
        <v>1004</v>
      </c>
      <c r="S1773" s="670" t="s">
        <v>2605</v>
      </c>
      <c r="T1773" s="668" t="s">
        <v>1085</v>
      </c>
    </row>
    <row r="1774" spans="1:20">
      <c r="A1774" s="679">
        <v>2812232</v>
      </c>
      <c r="B1774" s="677"/>
      <c r="C1774" s="672"/>
      <c r="D1774" s="672"/>
      <c r="E1774" s="676" t="s">
        <v>2596</v>
      </c>
      <c r="F1774" s="680" t="s">
        <v>2636</v>
      </c>
      <c r="G1774" s="710">
        <v>281</v>
      </c>
      <c r="H1774" s="682">
        <v>2232</v>
      </c>
      <c r="J1774" s="668" t="str">
        <f t="shared" si="305"/>
        <v>(i) Sick Leave Severance Pay</v>
      </c>
      <c r="L1774" s="668">
        <v>95</v>
      </c>
      <c r="M1774" s="669">
        <v>90</v>
      </c>
      <c r="N1774" s="668"/>
      <c r="O1774" s="668">
        <v>14</v>
      </c>
      <c r="P1774" s="668" t="str">
        <f>IFERROR(VLOOKUP(F1774, [2]MOE!B:C, 2, FALSE), "No")</f>
        <v>YES</v>
      </c>
      <c r="Q1774" s="711" t="s">
        <v>1004</v>
      </c>
      <c r="S1774" s="670" t="s">
        <v>2605</v>
      </c>
      <c r="T1774" s="668" t="s">
        <v>1087</v>
      </c>
    </row>
    <row r="1775" spans="1:20">
      <c r="A1775" s="679">
        <v>2822232</v>
      </c>
      <c r="B1775" s="677"/>
      <c r="C1775" s="672"/>
      <c r="D1775" s="672"/>
      <c r="E1775" s="676" t="s">
        <v>2598</v>
      </c>
      <c r="F1775" s="680" t="s">
        <v>2637</v>
      </c>
      <c r="G1775" s="710">
        <v>282</v>
      </c>
      <c r="H1775" s="682">
        <v>2232</v>
      </c>
      <c r="J1775" s="668" t="str">
        <f t="shared" si="305"/>
        <v>(j) Annual Leave Severance Pay</v>
      </c>
      <c r="L1775" s="668">
        <v>95</v>
      </c>
      <c r="M1775" s="669">
        <v>90</v>
      </c>
      <c r="N1775" s="668"/>
      <c r="O1775" s="668">
        <v>14</v>
      </c>
      <c r="P1775" s="668" t="str">
        <f>IFERROR(VLOOKUP(F1775, [2]MOE!B:C, 2, FALSE), "No")</f>
        <v>YES</v>
      </c>
      <c r="Q1775" s="711" t="s">
        <v>1004</v>
      </c>
      <c r="S1775" s="670" t="s">
        <v>2605</v>
      </c>
      <c r="T1775" s="668" t="s">
        <v>1089</v>
      </c>
    </row>
    <row r="1776" spans="1:20">
      <c r="A1776" s="679">
        <v>2902232</v>
      </c>
      <c r="B1776" s="677"/>
      <c r="C1776" s="672"/>
      <c r="D1776" s="672"/>
      <c r="E1776" s="676" t="s">
        <v>2600</v>
      </c>
      <c r="F1776" s="680" t="s">
        <v>2638</v>
      </c>
      <c r="G1776" s="710">
        <v>290</v>
      </c>
      <c r="H1776" s="682">
        <v>2232</v>
      </c>
      <c r="J1776" s="668" t="str">
        <f t="shared" si="305"/>
        <v>(k) Other Employee Benefits</v>
      </c>
      <c r="L1776" s="668">
        <v>95</v>
      </c>
      <c r="M1776" s="669">
        <v>90</v>
      </c>
      <c r="N1776" s="668"/>
      <c r="O1776" s="668">
        <v>14</v>
      </c>
      <c r="P1776" s="668" t="str">
        <f>IFERROR(VLOOKUP(F1776, [2]MOE!B:C, 2, FALSE), "No")</f>
        <v>YES</v>
      </c>
      <c r="Q1776" s="711" t="s">
        <v>1004</v>
      </c>
      <c r="S1776" s="670" t="s">
        <v>2605</v>
      </c>
      <c r="T1776" s="668" t="s">
        <v>1092</v>
      </c>
    </row>
    <row r="1777" spans="1:20">
      <c r="A1777" s="671"/>
      <c r="B1777" s="677"/>
      <c r="C1777" s="672"/>
      <c r="D1777" s="672" t="s">
        <v>801</v>
      </c>
      <c r="E1777" s="676" t="s">
        <v>2639</v>
      </c>
      <c r="F1777" s="675"/>
      <c r="G1777" s="672"/>
      <c r="H1777" s="676"/>
      <c r="Q1777" s="711"/>
      <c r="S1777" s="670"/>
    </row>
    <row r="1778" spans="1:20">
      <c r="A1778" s="671"/>
      <c r="B1778" s="677"/>
      <c r="C1778" s="672"/>
      <c r="D1778" s="672"/>
      <c r="E1778" s="676" t="s">
        <v>2640</v>
      </c>
      <c r="F1778" s="675"/>
      <c r="G1778" s="672"/>
      <c r="H1778" s="676"/>
      <c r="Q1778" s="711"/>
      <c r="S1778" s="670"/>
    </row>
    <row r="1779" spans="1:20">
      <c r="A1779" s="679">
        <v>1112233</v>
      </c>
      <c r="B1779" s="677"/>
      <c r="C1779" s="672"/>
      <c r="D1779" s="672"/>
      <c r="E1779" s="676" t="s">
        <v>2215</v>
      </c>
      <c r="F1779" s="680" t="s">
        <v>2641</v>
      </c>
      <c r="G1779" s="710">
        <v>111</v>
      </c>
      <c r="H1779" s="682">
        <v>2233</v>
      </c>
      <c r="J1779" s="668" t="str">
        <f t="shared" ref="J1779:J1785" si="306">E1779</f>
        <v>(a) Director/Supervisors</v>
      </c>
      <c r="L1779" s="668">
        <v>81</v>
      </c>
      <c r="M1779" s="669">
        <v>76</v>
      </c>
      <c r="N1779" s="668"/>
      <c r="O1779" s="668">
        <v>14</v>
      </c>
      <c r="P1779" s="668" t="str">
        <f>IFERROR(VLOOKUP(F1779, [2]MOE!B:C, 2, FALSE), "No")</f>
        <v>No</v>
      </c>
      <c r="Q1779" s="711" t="s">
        <v>1004</v>
      </c>
      <c r="S1779" s="670" t="s">
        <v>2642</v>
      </c>
      <c r="T1779" s="668" t="s">
        <v>2218</v>
      </c>
    </row>
    <row r="1780" spans="1:20">
      <c r="A1780" s="679">
        <v>1122233</v>
      </c>
      <c r="B1780" s="677"/>
      <c r="C1780" s="672"/>
      <c r="D1780" s="672"/>
      <c r="E1780" s="676" t="s">
        <v>2554</v>
      </c>
      <c r="F1780" s="680" t="s">
        <v>2643</v>
      </c>
      <c r="G1780" s="710">
        <v>112</v>
      </c>
      <c r="H1780" s="682">
        <v>2233</v>
      </c>
      <c r="J1780" s="668" t="str">
        <f t="shared" si="306"/>
        <v>(b) Staff Instructors</v>
      </c>
      <c r="L1780" s="668">
        <v>82</v>
      </c>
      <c r="M1780" s="669">
        <v>77</v>
      </c>
      <c r="N1780" s="668"/>
      <c r="O1780" s="668">
        <v>14</v>
      </c>
      <c r="P1780" s="668" t="str">
        <f>IFERROR(VLOOKUP(F1780, [2]MOE!B:C, 2, FALSE), "No")</f>
        <v>No</v>
      </c>
      <c r="Q1780" s="711" t="s">
        <v>1004</v>
      </c>
      <c r="S1780" s="670" t="s">
        <v>2642</v>
      </c>
      <c r="T1780" s="668" t="s">
        <v>2556</v>
      </c>
    </row>
    <row r="1781" spans="1:20">
      <c r="A1781" s="679">
        <v>1132233</v>
      </c>
      <c r="B1781" s="677"/>
      <c r="C1781" s="672"/>
      <c r="D1781" s="672"/>
      <c r="E1781" s="676" t="s">
        <v>2557</v>
      </c>
      <c r="F1781" s="680" t="s">
        <v>2644</v>
      </c>
      <c r="G1781" s="710">
        <v>113</v>
      </c>
      <c r="H1781" s="682">
        <v>2233</v>
      </c>
      <c r="J1781" s="668" t="str">
        <f t="shared" si="306"/>
        <v>(c) Specialists</v>
      </c>
      <c r="L1781" s="668">
        <v>83</v>
      </c>
      <c r="M1781" s="669">
        <v>78</v>
      </c>
      <c r="N1781" s="668"/>
      <c r="O1781" s="668">
        <v>14</v>
      </c>
      <c r="P1781" s="668" t="str">
        <f>IFERROR(VLOOKUP(F1781, [2]MOE!B:C, 2, FALSE), "No")</f>
        <v>No</v>
      </c>
      <c r="Q1781" s="711" t="s">
        <v>1004</v>
      </c>
      <c r="S1781" s="670" t="s">
        <v>2642</v>
      </c>
      <c r="T1781" s="668" t="s">
        <v>2221</v>
      </c>
    </row>
    <row r="1782" spans="1:20">
      <c r="A1782" s="679">
        <v>1002233</v>
      </c>
      <c r="B1782" s="677"/>
      <c r="C1782" s="672"/>
      <c r="D1782" s="672"/>
      <c r="E1782" s="676" t="s">
        <v>2224</v>
      </c>
      <c r="F1782" s="680" t="s">
        <v>2645</v>
      </c>
      <c r="G1782" s="710">
        <v>100</v>
      </c>
      <c r="H1782" s="682">
        <v>2233</v>
      </c>
      <c r="J1782" s="668" t="str">
        <f t="shared" si="306"/>
        <v>(d) Other Salaries</v>
      </c>
      <c r="L1782" s="668">
        <v>86</v>
      </c>
      <c r="M1782" s="669">
        <v>81</v>
      </c>
      <c r="N1782" s="668"/>
      <c r="O1782" s="668">
        <v>14</v>
      </c>
      <c r="P1782" s="668" t="str">
        <f>IFERROR(VLOOKUP(F1782, [2]MOE!B:C, 2, FALSE), "No")</f>
        <v>No</v>
      </c>
      <c r="Q1782" s="711" t="s">
        <v>1004</v>
      </c>
      <c r="S1782" s="670" t="s">
        <v>2642</v>
      </c>
      <c r="T1782" s="668" t="s">
        <v>1947</v>
      </c>
    </row>
    <row r="1783" spans="1:20">
      <c r="A1783" s="679">
        <v>1402233</v>
      </c>
      <c r="B1783" s="677"/>
      <c r="C1783" s="672"/>
      <c r="D1783" s="672"/>
      <c r="E1783" s="676" t="s">
        <v>2226</v>
      </c>
      <c r="F1783" s="680" t="s">
        <v>2646</v>
      </c>
      <c r="G1783" s="710">
        <v>140</v>
      </c>
      <c r="H1783" s="682">
        <v>2233</v>
      </c>
      <c r="J1783" s="668" t="str">
        <f t="shared" si="306"/>
        <v>(e) Sabbatical Leave</v>
      </c>
      <c r="L1783" s="668">
        <v>86</v>
      </c>
      <c r="M1783" s="669">
        <v>81</v>
      </c>
      <c r="N1783" s="668"/>
      <c r="O1783" s="668">
        <v>14</v>
      </c>
      <c r="P1783" s="668" t="str">
        <f>IFERROR(VLOOKUP(F1783, [2]MOE!B:C, 2, FALSE), "No")</f>
        <v>No</v>
      </c>
      <c r="Q1783" s="711" t="s">
        <v>1004</v>
      </c>
      <c r="S1783" s="670" t="s">
        <v>2642</v>
      </c>
      <c r="T1783" s="668" t="s">
        <v>1019</v>
      </c>
    </row>
    <row r="1784" spans="1:20">
      <c r="A1784" s="679">
        <v>1502233</v>
      </c>
      <c r="B1784" s="677"/>
      <c r="C1784" s="672"/>
      <c r="D1784" s="672"/>
      <c r="E1784" s="676" t="s">
        <v>2561</v>
      </c>
      <c r="F1784" s="680" t="s">
        <v>2647</v>
      </c>
      <c r="G1784" s="710">
        <v>150</v>
      </c>
      <c r="H1784" s="682">
        <v>2233</v>
      </c>
      <c r="J1784" s="668" t="str">
        <f t="shared" si="306"/>
        <v>(f) Stipend Pay</v>
      </c>
      <c r="L1784" s="668">
        <v>86</v>
      </c>
      <c r="M1784" s="669">
        <v>81</v>
      </c>
      <c r="N1784" s="668"/>
      <c r="O1784" s="668">
        <v>14</v>
      </c>
      <c r="P1784" s="668" t="str">
        <f>IFERROR(VLOOKUP(F1784, [2]MOE!B:C, 2, FALSE), "No")</f>
        <v>No</v>
      </c>
      <c r="Q1784" s="711" t="s">
        <v>1004</v>
      </c>
      <c r="S1784" s="670" t="s">
        <v>2642</v>
      </c>
      <c r="T1784" s="668" t="s">
        <v>2563</v>
      </c>
    </row>
    <row r="1785" spans="1:20">
      <c r="A1785" s="679">
        <v>3002233</v>
      </c>
      <c r="B1785" s="677"/>
      <c r="C1785" s="672"/>
      <c r="D1785" s="672"/>
      <c r="E1785" s="676" t="s">
        <v>2564</v>
      </c>
      <c r="F1785" s="680" t="s">
        <v>2648</v>
      </c>
      <c r="G1785" s="710">
        <v>300</v>
      </c>
      <c r="H1785" s="682">
        <v>2233</v>
      </c>
      <c r="J1785" s="668" t="str">
        <f t="shared" si="306"/>
        <v>(2) Purchased Professional and Tech Svcs</v>
      </c>
      <c r="L1785" s="668">
        <v>101</v>
      </c>
      <c r="M1785" s="669">
        <v>96</v>
      </c>
      <c r="N1785" s="668"/>
      <c r="O1785" s="668">
        <v>14</v>
      </c>
      <c r="P1785" s="668" t="str">
        <f>IFERROR(VLOOKUP(F1785, [2]MOE!B:C, 2, FALSE), "No")</f>
        <v>No</v>
      </c>
      <c r="Q1785" s="711"/>
      <c r="S1785" s="670" t="s">
        <v>2642</v>
      </c>
      <c r="T1785" s="668" t="s">
        <v>2566</v>
      </c>
    </row>
    <row r="1786" spans="1:20">
      <c r="A1786" s="671"/>
      <c r="B1786" s="677"/>
      <c r="C1786" s="672"/>
      <c r="D1786" s="672"/>
      <c r="E1786" s="676" t="s">
        <v>2231</v>
      </c>
      <c r="F1786" s="675"/>
      <c r="G1786" s="672"/>
      <c r="H1786" s="676"/>
      <c r="Q1786" s="711"/>
      <c r="S1786" s="670"/>
    </row>
    <row r="1787" spans="1:20">
      <c r="A1787" s="679">
        <v>4302233</v>
      </c>
      <c r="B1787" s="677"/>
      <c r="C1787" s="672"/>
      <c r="D1787" s="672"/>
      <c r="E1787" s="676" t="s">
        <v>2232</v>
      </c>
      <c r="F1787" s="680" t="s">
        <v>2649</v>
      </c>
      <c r="G1787" s="710">
        <v>430</v>
      </c>
      <c r="H1787" s="682">
        <v>2233</v>
      </c>
      <c r="J1787" s="668" t="str">
        <f t="shared" ref="J1787:J1789" si="307">E1787</f>
        <v>(a) Repairs and Maintenance Services</v>
      </c>
      <c r="L1787" s="668">
        <v>107</v>
      </c>
      <c r="M1787" s="669">
        <v>102</v>
      </c>
      <c r="N1787" s="668"/>
      <c r="O1787" s="668">
        <v>14</v>
      </c>
      <c r="P1787" s="668" t="str">
        <f>IFERROR(VLOOKUP(F1787, [2]MOE!B:C, 2, FALSE), "No")</f>
        <v>No</v>
      </c>
      <c r="Q1787" s="711"/>
      <c r="S1787" s="670" t="s">
        <v>2642</v>
      </c>
      <c r="T1787" s="668" t="s">
        <v>1023</v>
      </c>
    </row>
    <row r="1788" spans="1:20">
      <c r="A1788" s="679">
        <v>4422233</v>
      </c>
      <c r="B1788" s="677"/>
      <c r="C1788" s="672"/>
      <c r="D1788" s="672"/>
      <c r="E1788" s="676" t="s">
        <v>2234</v>
      </c>
      <c r="F1788" s="680" t="s">
        <v>2650</v>
      </c>
      <c r="G1788" s="710">
        <v>442</v>
      </c>
      <c r="H1788" s="682">
        <v>2233</v>
      </c>
      <c r="J1788" s="668" t="str">
        <f t="shared" si="307"/>
        <v>(b) Rental of Equipment</v>
      </c>
      <c r="L1788" s="668">
        <v>106</v>
      </c>
      <c r="M1788" s="669">
        <v>101</v>
      </c>
      <c r="N1788" s="668"/>
      <c r="O1788" s="668">
        <v>14</v>
      </c>
      <c r="P1788" s="668" t="str">
        <f>IFERROR(VLOOKUP(F1788, [2]MOE!B:C, 2, FALSE), "No")</f>
        <v>No</v>
      </c>
      <c r="Q1788" s="711"/>
      <c r="S1788" s="670" t="s">
        <v>2642</v>
      </c>
      <c r="T1788" s="668" t="s">
        <v>1025</v>
      </c>
    </row>
    <row r="1789" spans="1:20">
      <c r="A1789" s="679">
        <v>4002233</v>
      </c>
      <c r="B1789" s="677"/>
      <c r="C1789" s="672"/>
      <c r="D1789" s="672"/>
      <c r="E1789" s="676" t="s">
        <v>2236</v>
      </c>
      <c r="F1789" s="680" t="s">
        <v>2651</v>
      </c>
      <c r="G1789" s="710">
        <v>400</v>
      </c>
      <c r="H1789" s="682">
        <v>2233</v>
      </c>
      <c r="J1789" s="668" t="str">
        <f t="shared" si="307"/>
        <v>(c) Other Purchased Property Svcs</v>
      </c>
      <c r="L1789" s="668">
        <v>108</v>
      </c>
      <c r="M1789" s="669">
        <v>103</v>
      </c>
      <c r="N1789" s="668"/>
      <c r="O1789" s="668">
        <v>14</v>
      </c>
      <c r="P1789" s="668" t="str">
        <f>IFERROR(VLOOKUP(F1789, [2]MOE!B:C, 2, FALSE), "No")</f>
        <v>No</v>
      </c>
      <c r="Q1789" s="711"/>
      <c r="S1789" s="670" t="s">
        <v>2642</v>
      </c>
      <c r="T1789" s="668" t="s">
        <v>2238</v>
      </c>
    </row>
    <row r="1790" spans="1:20">
      <c r="A1790" s="671"/>
      <c r="B1790" s="677"/>
      <c r="C1790" s="672"/>
      <c r="D1790" s="672"/>
      <c r="E1790" s="676" t="s">
        <v>1395</v>
      </c>
      <c r="F1790" s="675"/>
      <c r="G1790" s="672"/>
      <c r="H1790" s="676"/>
      <c r="Q1790" s="711"/>
      <c r="S1790" s="670"/>
    </row>
    <row r="1791" spans="1:20">
      <c r="A1791" s="679">
        <v>5822233</v>
      </c>
      <c r="B1791" s="677"/>
      <c r="C1791" s="672"/>
      <c r="D1791" s="672"/>
      <c r="E1791" s="676" t="s">
        <v>2239</v>
      </c>
      <c r="F1791" s="680" t="s">
        <v>2652</v>
      </c>
      <c r="G1791" s="710">
        <v>582</v>
      </c>
      <c r="H1791" s="682">
        <v>2233</v>
      </c>
      <c r="J1791" s="668" t="str">
        <f t="shared" ref="J1791:J1792" si="308">E1791</f>
        <v>(a) Travel Expense Reimbursement</v>
      </c>
      <c r="L1791" s="668">
        <v>118</v>
      </c>
      <c r="M1791" s="669">
        <v>109</v>
      </c>
      <c r="N1791" s="668"/>
      <c r="O1791" s="668">
        <v>14</v>
      </c>
      <c r="P1791" s="668" t="str">
        <f>IFERROR(VLOOKUP(F1791, [2]MOE!B:C, 2, FALSE), "No")</f>
        <v>No</v>
      </c>
      <c r="Q1791" s="711"/>
      <c r="S1791" s="670" t="s">
        <v>2642</v>
      </c>
      <c r="T1791" s="668" t="s">
        <v>1039</v>
      </c>
    </row>
    <row r="1792" spans="1:20">
      <c r="A1792" s="679">
        <v>5002233</v>
      </c>
      <c r="B1792" s="677"/>
      <c r="C1792" s="672"/>
      <c r="D1792" s="672"/>
      <c r="E1792" s="676" t="s">
        <v>2241</v>
      </c>
      <c r="F1792" s="680" t="s">
        <v>2653</v>
      </c>
      <c r="G1792" s="710">
        <v>500</v>
      </c>
      <c r="H1792" s="682">
        <v>2233</v>
      </c>
      <c r="J1792" s="668" t="str">
        <f t="shared" si="308"/>
        <v>(b) Other Purchased Services</v>
      </c>
      <c r="L1792" s="668">
        <v>119</v>
      </c>
      <c r="M1792" s="669">
        <v>110</v>
      </c>
      <c r="N1792" s="668"/>
      <c r="O1792" s="668">
        <v>14</v>
      </c>
      <c r="P1792" s="668" t="str">
        <f>IFERROR(VLOOKUP(F1792, [2]MOE!B:C, 2, FALSE), "No")</f>
        <v>No</v>
      </c>
      <c r="Q1792" s="711"/>
      <c r="S1792" s="670" t="s">
        <v>2642</v>
      </c>
      <c r="T1792" s="668" t="s">
        <v>252</v>
      </c>
    </row>
    <row r="1793" spans="1:20">
      <c r="A1793" s="671"/>
      <c r="B1793" s="677"/>
      <c r="C1793" s="672"/>
      <c r="D1793" s="672"/>
      <c r="E1793" s="676" t="s">
        <v>2243</v>
      </c>
      <c r="F1793" s="675"/>
      <c r="G1793" s="672"/>
      <c r="H1793" s="676"/>
      <c r="Q1793" s="711"/>
      <c r="S1793" s="670"/>
    </row>
    <row r="1794" spans="1:20">
      <c r="A1794" s="679">
        <v>6152233</v>
      </c>
      <c r="B1794" s="677"/>
      <c r="C1794" s="672"/>
      <c r="D1794" s="672"/>
      <c r="E1794" s="676" t="s">
        <v>2244</v>
      </c>
      <c r="F1794" s="680" t="s">
        <v>2654</v>
      </c>
      <c r="G1794" s="710">
        <v>615</v>
      </c>
      <c r="H1794" s="682">
        <v>2233</v>
      </c>
      <c r="J1794" s="668" t="str">
        <f t="shared" ref="J1794:J1796" si="309">E1794</f>
        <v>(a) Technology-Related Supplies</v>
      </c>
      <c r="L1794" s="668">
        <v>126</v>
      </c>
      <c r="M1794" s="669">
        <v>117</v>
      </c>
      <c r="N1794" s="668"/>
      <c r="O1794" s="668">
        <v>14</v>
      </c>
      <c r="P1794" s="668" t="str">
        <f>IFERROR(VLOOKUP(F1794, [2]MOE!B:C, 2, FALSE), "No")</f>
        <v>No</v>
      </c>
      <c r="Q1794" s="711" t="s">
        <v>1045</v>
      </c>
      <c r="S1794" s="670" t="s">
        <v>2642</v>
      </c>
      <c r="T1794" s="668" t="s">
        <v>1043</v>
      </c>
    </row>
    <row r="1795" spans="1:20">
      <c r="A1795" s="679">
        <v>6102233</v>
      </c>
      <c r="B1795" s="677"/>
      <c r="C1795" s="672"/>
      <c r="D1795" s="672"/>
      <c r="E1795" s="676" t="s">
        <v>2246</v>
      </c>
      <c r="F1795" s="680" t="s">
        <v>2655</v>
      </c>
      <c r="G1795" s="710">
        <v>610</v>
      </c>
      <c r="H1795" s="682">
        <v>2233</v>
      </c>
      <c r="J1795" s="668" t="str">
        <f t="shared" si="309"/>
        <v>(b) Materials and Supplies</v>
      </c>
      <c r="L1795" s="668">
        <v>122</v>
      </c>
      <c r="M1795" s="669">
        <v>113</v>
      </c>
      <c r="N1795" s="668"/>
      <c r="O1795" s="668">
        <v>14</v>
      </c>
      <c r="P1795" s="668" t="str">
        <f>IFERROR(VLOOKUP(F1795, [2]MOE!B:C, 2, FALSE), "No")</f>
        <v>No</v>
      </c>
      <c r="Q1795" s="711" t="s">
        <v>1045</v>
      </c>
      <c r="S1795" s="670" t="s">
        <v>2642</v>
      </c>
      <c r="T1795" s="668" t="s">
        <v>39</v>
      </c>
    </row>
    <row r="1796" spans="1:20">
      <c r="A1796" s="679">
        <v>6002233</v>
      </c>
      <c r="B1796" s="677"/>
      <c r="C1796" s="672"/>
      <c r="D1796" s="672"/>
      <c r="E1796" s="676" t="s">
        <v>2248</v>
      </c>
      <c r="F1796" s="680" t="s">
        <v>2656</v>
      </c>
      <c r="G1796" s="710">
        <v>600</v>
      </c>
      <c r="H1796" s="682">
        <v>2233</v>
      </c>
      <c r="J1796" s="668" t="str">
        <f t="shared" si="309"/>
        <v>(c) Other Supplies</v>
      </c>
      <c r="L1796" s="668">
        <v>126</v>
      </c>
      <c r="M1796" s="669">
        <v>117</v>
      </c>
      <c r="N1796" s="668"/>
      <c r="O1796" s="668">
        <v>14</v>
      </c>
      <c r="P1796" s="668" t="str">
        <f>IFERROR(VLOOKUP(F1796, [2]MOE!B:C, 2, FALSE), "No")</f>
        <v>No</v>
      </c>
      <c r="Q1796" s="711"/>
      <c r="S1796" s="670" t="s">
        <v>2642</v>
      </c>
      <c r="T1796" s="668" t="s">
        <v>1050</v>
      </c>
    </row>
    <row r="1797" spans="1:20">
      <c r="A1797" s="671"/>
      <c r="B1797" s="677"/>
      <c r="C1797" s="672"/>
      <c r="D1797" s="672"/>
      <c r="E1797" s="676" t="s">
        <v>2250</v>
      </c>
      <c r="F1797" s="675"/>
      <c r="G1797" s="672"/>
      <c r="H1797" s="676"/>
      <c r="Q1797" s="711"/>
      <c r="S1797" s="670"/>
    </row>
    <row r="1798" spans="1:20">
      <c r="A1798" s="679">
        <v>7342233</v>
      </c>
      <c r="B1798" s="677"/>
      <c r="C1798" s="672"/>
      <c r="D1798" s="672"/>
      <c r="E1798" s="676" t="s">
        <v>2251</v>
      </c>
      <c r="F1798" s="680" t="s">
        <v>2657</v>
      </c>
      <c r="G1798" s="710">
        <v>734</v>
      </c>
      <c r="H1798" s="682">
        <v>2233</v>
      </c>
      <c r="J1798" s="668" t="str">
        <f t="shared" ref="J1798:J1801" si="310">E1798</f>
        <v>(a) Technology-Related Hardware</v>
      </c>
      <c r="L1798" s="668">
        <v>131</v>
      </c>
      <c r="M1798" s="669">
        <v>122</v>
      </c>
      <c r="N1798" s="668"/>
      <c r="O1798" s="668">
        <v>14</v>
      </c>
      <c r="P1798" s="668" t="str">
        <f>IFERROR(VLOOKUP(F1798, [2]MOE!B:C, 2, FALSE), "No")</f>
        <v>No</v>
      </c>
      <c r="Q1798" s="711"/>
      <c r="S1798" s="670" t="s">
        <v>2642</v>
      </c>
      <c r="T1798" s="668" t="s">
        <v>1053</v>
      </c>
    </row>
    <row r="1799" spans="1:20">
      <c r="A1799" s="679">
        <v>7352233</v>
      </c>
      <c r="B1799" s="677"/>
      <c r="C1799" s="672"/>
      <c r="D1799" s="672"/>
      <c r="E1799" s="676" t="s">
        <v>2253</v>
      </c>
      <c r="F1799" s="680" t="s">
        <v>2658</v>
      </c>
      <c r="G1799" s="710">
        <v>735</v>
      </c>
      <c r="H1799" s="682">
        <v>2233</v>
      </c>
      <c r="J1799" s="668" t="str">
        <f t="shared" si="310"/>
        <v>(b) Technology Software</v>
      </c>
      <c r="L1799" s="668">
        <v>131</v>
      </c>
      <c r="M1799" s="669">
        <v>122</v>
      </c>
      <c r="N1799" s="668"/>
      <c r="O1799" s="668">
        <v>14</v>
      </c>
      <c r="P1799" s="668" t="str">
        <f>IFERROR(VLOOKUP(F1799, [2]MOE!B:C, 2, FALSE), "No")</f>
        <v>No</v>
      </c>
      <c r="Q1799" s="711"/>
      <c r="S1799" s="670" t="s">
        <v>2642</v>
      </c>
      <c r="T1799" s="668" t="s">
        <v>1055</v>
      </c>
    </row>
    <row r="1800" spans="1:20">
      <c r="A1800" s="679">
        <v>7302233</v>
      </c>
      <c r="B1800" s="677"/>
      <c r="C1800" s="672"/>
      <c r="D1800" s="672"/>
      <c r="E1800" s="676" t="s">
        <v>2255</v>
      </c>
      <c r="F1800" s="680" t="s">
        <v>2659</v>
      </c>
      <c r="G1800" s="710">
        <v>730</v>
      </c>
      <c r="H1800" s="682">
        <v>2233</v>
      </c>
      <c r="J1800" s="668" t="str">
        <f t="shared" si="310"/>
        <v>(c) All Other Equipment</v>
      </c>
      <c r="L1800" s="668">
        <v>131</v>
      </c>
      <c r="M1800" s="669">
        <v>122</v>
      </c>
      <c r="N1800" s="668"/>
      <c r="O1800" s="668">
        <v>14</v>
      </c>
      <c r="P1800" s="668" t="str">
        <f>IFERROR(VLOOKUP(F1800, [2]MOE!B:C, 2, FALSE), "No")</f>
        <v>No</v>
      </c>
      <c r="Q1800" s="711"/>
      <c r="S1800" s="670" t="s">
        <v>2642</v>
      </c>
      <c r="T1800" s="668" t="s">
        <v>1057</v>
      </c>
    </row>
    <row r="1801" spans="1:20">
      <c r="A1801" s="679">
        <v>7002233</v>
      </c>
      <c r="B1801" s="677"/>
      <c r="C1801" s="672"/>
      <c r="D1801" s="672"/>
      <c r="E1801" s="676" t="s">
        <v>2257</v>
      </c>
      <c r="F1801" s="680" t="s">
        <v>2660</v>
      </c>
      <c r="G1801" s="710">
        <v>700</v>
      </c>
      <c r="H1801" s="682">
        <v>2233</v>
      </c>
      <c r="J1801" s="668" t="str">
        <f t="shared" si="310"/>
        <v>(d) Other Property</v>
      </c>
      <c r="L1801" s="668">
        <v>132</v>
      </c>
      <c r="M1801" s="669">
        <v>123</v>
      </c>
      <c r="N1801" s="668"/>
      <c r="O1801" s="668">
        <v>14</v>
      </c>
      <c r="P1801" s="668" t="str">
        <f>IFERROR(VLOOKUP(F1801, [2]MOE!B:C, 2, FALSE), "No")</f>
        <v>No</v>
      </c>
      <c r="Q1801" s="711"/>
      <c r="S1801" s="670" t="s">
        <v>2642</v>
      </c>
      <c r="T1801" s="668" t="s">
        <v>1059</v>
      </c>
    </row>
    <row r="1802" spans="1:20">
      <c r="A1802" s="671"/>
      <c r="B1802" s="677"/>
      <c r="C1802" s="672"/>
      <c r="D1802" s="672"/>
      <c r="E1802" s="676" t="s">
        <v>2259</v>
      </c>
      <c r="F1802" s="675"/>
      <c r="G1802" s="672"/>
      <c r="H1802" s="676"/>
      <c r="Q1802" s="711"/>
      <c r="S1802" s="670"/>
    </row>
    <row r="1803" spans="1:20">
      <c r="A1803" s="679">
        <v>8952233</v>
      </c>
      <c r="B1803" s="677"/>
      <c r="C1803" s="672"/>
      <c r="D1803" s="672"/>
      <c r="E1803" s="676" t="s">
        <v>2260</v>
      </c>
      <c r="F1803" s="680" t="s">
        <v>2661</v>
      </c>
      <c r="G1803" s="710">
        <v>895</v>
      </c>
      <c r="H1803" s="682">
        <v>2233</v>
      </c>
      <c r="J1803" s="668" t="str">
        <f t="shared" ref="J1803:J1804" si="311">E1803</f>
        <v>(a) Misc. Non-Public Expenditures</v>
      </c>
      <c r="L1803" s="668">
        <v>139</v>
      </c>
      <c r="M1803" s="669">
        <v>129</v>
      </c>
      <c r="N1803" s="668"/>
      <c r="O1803" s="668">
        <v>14</v>
      </c>
      <c r="P1803" s="668" t="str">
        <f>IFERROR(VLOOKUP(F1803, [2]MOE!B:C, 2, FALSE), "No")</f>
        <v>No</v>
      </c>
      <c r="Q1803" s="711"/>
      <c r="S1803" s="670" t="s">
        <v>2642</v>
      </c>
      <c r="T1803" s="668" t="s">
        <v>2262</v>
      </c>
    </row>
    <row r="1804" spans="1:20">
      <c r="A1804" s="679">
        <v>8002233</v>
      </c>
      <c r="B1804" s="677"/>
      <c r="C1804" s="672"/>
      <c r="D1804" s="672"/>
      <c r="E1804" s="676" t="s">
        <v>2263</v>
      </c>
      <c r="F1804" s="680" t="s">
        <v>2662</v>
      </c>
      <c r="G1804" s="710">
        <v>800</v>
      </c>
      <c r="H1804" s="682">
        <v>2233</v>
      </c>
      <c r="J1804" s="668" t="str">
        <f t="shared" si="311"/>
        <v>(b) Other Miscellaneous Expenditures</v>
      </c>
      <c r="L1804" s="668">
        <v>139</v>
      </c>
      <c r="M1804" s="669">
        <v>129</v>
      </c>
      <c r="N1804" s="668"/>
      <c r="O1804" s="668">
        <v>14</v>
      </c>
      <c r="P1804" s="668" t="str">
        <f>IFERROR(VLOOKUP(F1804, [2]MOE!B:C, 2, FALSE), "No")</f>
        <v>No</v>
      </c>
      <c r="Q1804" s="711"/>
      <c r="S1804" s="670" t="s">
        <v>2642</v>
      </c>
      <c r="T1804" s="668" t="s">
        <v>1063</v>
      </c>
    </row>
    <row r="1805" spans="1:20">
      <c r="A1805" s="671"/>
      <c r="B1805" s="677"/>
      <c r="C1805" s="672"/>
      <c r="D1805" s="672"/>
      <c r="E1805" s="676" t="s">
        <v>2265</v>
      </c>
      <c r="F1805" s="675"/>
      <c r="G1805" s="672"/>
      <c r="H1805" s="676"/>
      <c r="Q1805" s="711"/>
      <c r="S1805" s="670"/>
    </row>
    <row r="1806" spans="1:20">
      <c r="A1806" s="679">
        <v>2102233</v>
      </c>
      <c r="B1806" s="677"/>
      <c r="C1806" s="672"/>
      <c r="D1806" s="672"/>
      <c r="E1806" s="676" t="s">
        <v>2266</v>
      </c>
      <c r="F1806" s="680" t="s">
        <v>2663</v>
      </c>
      <c r="G1806" s="710">
        <v>210</v>
      </c>
      <c r="H1806" s="682">
        <v>2233</v>
      </c>
      <c r="J1806" s="668" t="str">
        <f t="shared" ref="J1806:J1808" si="312">E1806</f>
        <v>(a) Group Insurance</v>
      </c>
      <c r="L1806" s="668">
        <v>89</v>
      </c>
      <c r="M1806" s="669">
        <v>84</v>
      </c>
      <c r="N1806" s="668"/>
      <c r="O1806" s="668">
        <v>14</v>
      </c>
      <c r="P1806" s="668" t="str">
        <f>IFERROR(VLOOKUP(F1806, [2]MOE!B:C, 2, FALSE), "No")</f>
        <v>No</v>
      </c>
      <c r="Q1806" s="711" t="s">
        <v>1004</v>
      </c>
      <c r="S1806" s="670" t="s">
        <v>2642</v>
      </c>
      <c r="T1806" s="668" t="s">
        <v>1066</v>
      </c>
    </row>
    <row r="1807" spans="1:20">
      <c r="A1807" s="679">
        <v>2202233</v>
      </c>
      <c r="B1807" s="677"/>
      <c r="C1807" s="672"/>
      <c r="D1807" s="672"/>
      <c r="E1807" s="676" t="s">
        <v>2268</v>
      </c>
      <c r="F1807" s="680" t="s">
        <v>2664</v>
      </c>
      <c r="G1807" s="710">
        <v>220</v>
      </c>
      <c r="H1807" s="682">
        <v>2233</v>
      </c>
      <c r="J1807" s="668" t="str">
        <f t="shared" si="312"/>
        <v>(b) FICA</v>
      </c>
      <c r="L1807" s="668">
        <v>90</v>
      </c>
      <c r="M1807" s="669">
        <v>85</v>
      </c>
      <c r="N1807" s="668"/>
      <c r="O1807" s="668">
        <v>14</v>
      </c>
      <c r="P1807" s="668" t="str">
        <f>IFERROR(VLOOKUP(F1807, [2]MOE!B:C, 2, FALSE), "No")</f>
        <v>No</v>
      </c>
      <c r="Q1807" s="711" t="s">
        <v>1004</v>
      </c>
      <c r="S1807" s="670" t="s">
        <v>2642</v>
      </c>
      <c r="T1807" s="668" t="s">
        <v>1068</v>
      </c>
    </row>
    <row r="1808" spans="1:20">
      <c r="A1808" s="679">
        <v>2252233</v>
      </c>
      <c r="B1808" s="677"/>
      <c r="C1808" s="672"/>
      <c r="D1808" s="672"/>
      <c r="E1808" s="676" t="s">
        <v>2270</v>
      </c>
      <c r="F1808" s="680" t="s">
        <v>2665</v>
      </c>
      <c r="G1808" s="710">
        <v>225</v>
      </c>
      <c r="H1808" s="682">
        <v>2233</v>
      </c>
      <c r="J1808" s="668" t="str">
        <f t="shared" si="312"/>
        <v>(c) Medicare</v>
      </c>
      <c r="L1808" s="668">
        <v>91</v>
      </c>
      <c r="M1808" s="669">
        <v>86</v>
      </c>
      <c r="N1808" s="668"/>
      <c r="O1808" s="668">
        <v>14</v>
      </c>
      <c r="P1808" s="668" t="str">
        <f>IFERROR(VLOOKUP(F1808, [2]MOE!B:C, 2, FALSE), "No")</f>
        <v>No</v>
      </c>
      <c r="Q1808" s="711" t="s">
        <v>1004</v>
      </c>
      <c r="S1808" s="670" t="s">
        <v>2642</v>
      </c>
      <c r="T1808" s="668" t="s">
        <v>23</v>
      </c>
    </row>
    <row r="1809" spans="1:20">
      <c r="A1809" s="671"/>
      <c r="B1809" s="677"/>
      <c r="C1809" s="672"/>
      <c r="D1809" s="672"/>
      <c r="E1809" s="676" t="s">
        <v>2272</v>
      </c>
      <c r="F1809" s="675"/>
      <c r="G1809" s="672"/>
      <c r="H1809" s="676"/>
      <c r="Q1809" s="711"/>
      <c r="S1809" s="670"/>
    </row>
    <row r="1810" spans="1:20">
      <c r="A1810" s="679">
        <v>2312233</v>
      </c>
      <c r="B1810" s="677"/>
      <c r="C1810" s="672"/>
      <c r="D1810" s="672"/>
      <c r="E1810" s="676" t="s">
        <v>2273</v>
      </c>
      <c r="F1810" s="680" t="s">
        <v>2666</v>
      </c>
      <c r="G1810" s="710">
        <v>231</v>
      </c>
      <c r="H1810" s="682">
        <v>2233</v>
      </c>
      <c r="J1810" s="668" t="str">
        <f t="shared" ref="J1810:J1819" si="313">E1810</f>
        <v>1) Louisiana Teachers Retirement</v>
      </c>
      <c r="L1810" s="668">
        <v>92</v>
      </c>
      <c r="M1810" s="669">
        <v>87</v>
      </c>
      <c r="N1810" s="668"/>
      <c r="O1810" s="668">
        <v>14</v>
      </c>
      <c r="P1810" s="668" t="str">
        <f>IFERROR(VLOOKUP(F1810, [2]MOE!B:C, 2, FALSE), "No")</f>
        <v>No</v>
      </c>
      <c r="Q1810" s="711" t="s">
        <v>1004</v>
      </c>
      <c r="S1810" s="670" t="s">
        <v>2642</v>
      </c>
      <c r="T1810" s="668" t="s">
        <v>1074</v>
      </c>
    </row>
    <row r="1811" spans="1:20">
      <c r="A1811" s="679">
        <v>2332233</v>
      </c>
      <c r="B1811" s="677"/>
      <c r="C1811" s="672"/>
      <c r="D1811" s="672"/>
      <c r="E1811" s="676" t="s">
        <v>2275</v>
      </c>
      <c r="F1811" s="680" t="s">
        <v>2667</v>
      </c>
      <c r="G1811" s="710">
        <v>233</v>
      </c>
      <c r="H1811" s="682">
        <v>2233</v>
      </c>
      <c r="J1811" s="668" t="str">
        <f t="shared" si="313"/>
        <v>2) Louisiana School Emp. Retire.</v>
      </c>
      <c r="L1811" s="668">
        <v>92</v>
      </c>
      <c r="M1811" s="669">
        <v>87</v>
      </c>
      <c r="N1811" s="668"/>
      <c r="O1811" s="668">
        <v>14</v>
      </c>
      <c r="P1811" s="668" t="str">
        <f>IFERROR(VLOOKUP(F1811, [2]MOE!B:C, 2, FALSE), "No")</f>
        <v>No</v>
      </c>
      <c r="Q1811" s="711" t="s">
        <v>1004</v>
      </c>
      <c r="S1811" s="670" t="s">
        <v>2642</v>
      </c>
      <c r="T1811" s="668" t="s">
        <v>2277</v>
      </c>
    </row>
    <row r="1812" spans="1:20">
      <c r="A1812" s="679">
        <v>2392233</v>
      </c>
      <c r="B1812" s="677"/>
      <c r="C1812" s="672"/>
      <c r="D1812" s="672"/>
      <c r="E1812" s="676" t="s">
        <v>2278</v>
      </c>
      <c r="F1812" s="680" t="s">
        <v>2668</v>
      </c>
      <c r="G1812" s="710">
        <v>239</v>
      </c>
      <c r="H1812" s="682">
        <v>2233</v>
      </c>
      <c r="J1812" s="668" t="str">
        <f t="shared" si="313"/>
        <v>3) Other Retirement</v>
      </c>
      <c r="L1812" s="668">
        <v>92</v>
      </c>
      <c r="M1812" s="669">
        <v>87</v>
      </c>
      <c r="N1812" s="668"/>
      <c r="O1812" s="668">
        <v>14</v>
      </c>
      <c r="P1812" s="668" t="str">
        <f>IFERROR(VLOOKUP(F1812, [2]MOE!B:C, 2, FALSE), "No")</f>
        <v>No</v>
      </c>
      <c r="Q1812" s="711" t="s">
        <v>1004</v>
      </c>
      <c r="S1812" s="670" t="s">
        <v>2642</v>
      </c>
      <c r="T1812" s="668" t="s">
        <v>1080</v>
      </c>
    </row>
    <row r="1813" spans="1:20">
      <c r="A1813" s="679">
        <v>2402233</v>
      </c>
      <c r="B1813" s="677"/>
      <c r="C1813" s="672"/>
      <c r="D1813" s="672"/>
      <c r="E1813" s="676" t="s">
        <v>2587</v>
      </c>
      <c r="F1813" s="680" t="s">
        <v>2669</v>
      </c>
      <c r="G1813" s="710">
        <v>240</v>
      </c>
      <c r="H1813" s="682">
        <v>2233</v>
      </c>
      <c r="J1813" s="668" t="str">
        <f t="shared" si="313"/>
        <v>(e) Educational Reimbursement</v>
      </c>
      <c r="L1813" s="668">
        <v>95</v>
      </c>
      <c r="M1813" s="669">
        <v>90</v>
      </c>
      <c r="N1813" s="668"/>
      <c r="O1813" s="668">
        <v>14</v>
      </c>
      <c r="P1813" s="668" t="str">
        <f>IFERROR(VLOOKUP(F1813, [2]MOE!B:C, 2, FALSE), "No")</f>
        <v>No</v>
      </c>
      <c r="Q1813" s="711" t="s">
        <v>1004</v>
      </c>
      <c r="S1813" s="670" t="s">
        <v>2642</v>
      </c>
      <c r="T1813" s="668" t="s">
        <v>2589</v>
      </c>
    </row>
    <row r="1814" spans="1:20">
      <c r="A1814" s="679">
        <v>2502233</v>
      </c>
      <c r="B1814" s="677"/>
      <c r="C1814" s="672"/>
      <c r="D1814" s="672"/>
      <c r="E1814" s="676" t="s">
        <v>2590</v>
      </c>
      <c r="F1814" s="680" t="s">
        <v>2670</v>
      </c>
      <c r="G1814" s="710">
        <v>250</v>
      </c>
      <c r="H1814" s="682">
        <v>2233</v>
      </c>
      <c r="J1814" s="668" t="str">
        <f t="shared" si="313"/>
        <v>(f) Unemployment Compensation</v>
      </c>
      <c r="L1814" s="668">
        <v>93</v>
      </c>
      <c r="M1814" s="669">
        <v>88</v>
      </c>
      <c r="N1814" s="668"/>
      <c r="O1814" s="668">
        <v>14</v>
      </c>
      <c r="P1814" s="668" t="str">
        <f>IFERROR(VLOOKUP(F1814, [2]MOE!B:C, 2, FALSE), "No")</f>
        <v>No</v>
      </c>
      <c r="Q1814" s="711" t="s">
        <v>1004</v>
      </c>
      <c r="S1814" s="670" t="s">
        <v>2642</v>
      </c>
      <c r="T1814" s="668" t="s">
        <v>1081</v>
      </c>
    </row>
    <row r="1815" spans="1:20">
      <c r="A1815" s="679">
        <v>2602233</v>
      </c>
      <c r="B1815" s="677"/>
      <c r="C1815" s="672"/>
      <c r="D1815" s="672"/>
      <c r="E1815" s="676" t="s">
        <v>2592</v>
      </c>
      <c r="F1815" s="680" t="s">
        <v>2671</v>
      </c>
      <c r="G1815" s="710">
        <v>260</v>
      </c>
      <c r="H1815" s="682">
        <v>2233</v>
      </c>
      <c r="J1815" s="668" t="str">
        <f t="shared" si="313"/>
        <v>(g) Workmen's Compensation</v>
      </c>
      <c r="L1815" s="668">
        <v>95</v>
      </c>
      <c r="M1815" s="669">
        <v>90</v>
      </c>
      <c r="N1815" s="668"/>
      <c r="O1815" s="668">
        <v>14</v>
      </c>
      <c r="P1815" s="668" t="str">
        <f>IFERROR(VLOOKUP(F1815, [2]MOE!B:C, 2, FALSE), "No")</f>
        <v>No</v>
      </c>
      <c r="Q1815" s="711" t="s">
        <v>1004</v>
      </c>
      <c r="S1815" s="670" t="s">
        <v>2642</v>
      </c>
      <c r="T1815" s="668" t="s">
        <v>1083</v>
      </c>
    </row>
    <row r="1816" spans="1:20">
      <c r="A1816" s="679">
        <v>2702233</v>
      </c>
      <c r="B1816" s="677"/>
      <c r="C1816" s="672"/>
      <c r="D1816" s="672"/>
      <c r="E1816" s="676" t="s">
        <v>2594</v>
      </c>
      <c r="F1816" s="680" t="s">
        <v>2672</v>
      </c>
      <c r="G1816" s="710">
        <v>270</v>
      </c>
      <c r="H1816" s="682">
        <v>2233</v>
      </c>
      <c r="J1816" s="668" t="str">
        <f t="shared" si="313"/>
        <v>(h) Health Benefits (retirees)</v>
      </c>
      <c r="L1816" s="668">
        <v>94</v>
      </c>
      <c r="M1816" s="669">
        <v>89</v>
      </c>
      <c r="N1816" s="668"/>
      <c r="O1816" s="668">
        <v>14</v>
      </c>
      <c r="P1816" s="668" t="str">
        <f>IFERROR(VLOOKUP(F1816, [2]MOE!B:C, 2, FALSE), "No")</f>
        <v>No</v>
      </c>
      <c r="Q1816" s="711" t="s">
        <v>1004</v>
      </c>
      <c r="S1816" s="670" t="s">
        <v>2642</v>
      </c>
      <c r="T1816" s="668" t="s">
        <v>1085</v>
      </c>
    </row>
    <row r="1817" spans="1:20">
      <c r="A1817" s="679">
        <v>2812233</v>
      </c>
      <c r="B1817" s="677"/>
      <c r="C1817" s="672"/>
      <c r="D1817" s="672"/>
      <c r="E1817" s="676" t="s">
        <v>2596</v>
      </c>
      <c r="F1817" s="680" t="s">
        <v>2673</v>
      </c>
      <c r="G1817" s="710">
        <v>281</v>
      </c>
      <c r="H1817" s="682">
        <v>2233</v>
      </c>
      <c r="J1817" s="668" t="str">
        <f t="shared" si="313"/>
        <v>(i) Sick Leave Severance Pay</v>
      </c>
      <c r="L1817" s="668">
        <v>95</v>
      </c>
      <c r="M1817" s="669">
        <v>90</v>
      </c>
      <c r="N1817" s="668"/>
      <c r="O1817" s="668">
        <v>14</v>
      </c>
      <c r="P1817" s="668" t="str">
        <f>IFERROR(VLOOKUP(F1817, [2]MOE!B:C, 2, FALSE), "No")</f>
        <v>No</v>
      </c>
      <c r="Q1817" s="711" t="s">
        <v>1004</v>
      </c>
      <c r="S1817" s="670" t="s">
        <v>2642</v>
      </c>
      <c r="T1817" s="668" t="s">
        <v>1087</v>
      </c>
    </row>
    <row r="1818" spans="1:20">
      <c r="A1818" s="679">
        <v>2822233</v>
      </c>
      <c r="B1818" s="677"/>
      <c r="C1818" s="672"/>
      <c r="D1818" s="672"/>
      <c r="E1818" s="676" t="s">
        <v>2598</v>
      </c>
      <c r="F1818" s="680" t="s">
        <v>2674</v>
      </c>
      <c r="G1818" s="710">
        <v>282</v>
      </c>
      <c r="H1818" s="682">
        <v>2233</v>
      </c>
      <c r="J1818" s="668" t="str">
        <f t="shared" si="313"/>
        <v>(j) Annual Leave Severance Pay</v>
      </c>
      <c r="L1818" s="668">
        <v>95</v>
      </c>
      <c r="M1818" s="669">
        <v>90</v>
      </c>
      <c r="N1818" s="668"/>
      <c r="O1818" s="668">
        <v>14</v>
      </c>
      <c r="P1818" s="668" t="str">
        <f>IFERROR(VLOOKUP(F1818, [2]MOE!B:C, 2, FALSE), "No")</f>
        <v>No</v>
      </c>
      <c r="Q1818" s="711" t="s">
        <v>1004</v>
      </c>
      <c r="S1818" s="670" t="s">
        <v>2642</v>
      </c>
      <c r="T1818" s="668" t="s">
        <v>1089</v>
      </c>
    </row>
    <row r="1819" spans="1:20">
      <c r="A1819" s="679">
        <v>2902233</v>
      </c>
      <c r="B1819" s="677"/>
      <c r="C1819" s="672"/>
      <c r="D1819" s="672"/>
      <c r="E1819" s="676" t="s">
        <v>2600</v>
      </c>
      <c r="F1819" s="680" t="s">
        <v>2675</v>
      </c>
      <c r="G1819" s="710">
        <v>290</v>
      </c>
      <c r="H1819" s="682">
        <v>2233</v>
      </c>
      <c r="J1819" s="668" t="str">
        <f t="shared" si="313"/>
        <v>(k) Other Employee Benefits</v>
      </c>
      <c r="L1819" s="668">
        <v>95</v>
      </c>
      <c r="M1819" s="669">
        <v>90</v>
      </c>
      <c r="N1819" s="668"/>
      <c r="O1819" s="668">
        <v>14</v>
      </c>
      <c r="P1819" s="668" t="str">
        <f>IFERROR(VLOOKUP(F1819, [2]MOE!B:C, 2, FALSE), "No")</f>
        <v>No</v>
      </c>
      <c r="Q1819" s="711" t="s">
        <v>1004</v>
      </c>
      <c r="S1819" s="670" t="s">
        <v>2642</v>
      </c>
      <c r="T1819" s="668" t="s">
        <v>1092</v>
      </c>
    </row>
    <row r="1820" spans="1:20">
      <c r="A1820" s="671"/>
      <c r="B1820" s="677"/>
      <c r="C1820" s="672"/>
      <c r="D1820" s="672" t="s">
        <v>805</v>
      </c>
      <c r="E1820" s="676" t="s">
        <v>2676</v>
      </c>
      <c r="F1820" s="675"/>
      <c r="G1820" s="672"/>
      <c r="H1820" s="676"/>
      <c r="Q1820" s="711"/>
      <c r="S1820" s="670"/>
    </row>
    <row r="1821" spans="1:20">
      <c r="A1821" s="671"/>
      <c r="B1821" s="677"/>
      <c r="C1821" s="672"/>
      <c r="D1821" s="672"/>
      <c r="E1821" s="725" t="s">
        <v>2677</v>
      </c>
      <c r="F1821" s="675"/>
      <c r="G1821" s="672"/>
      <c r="H1821" s="676"/>
      <c r="Q1821" s="711"/>
      <c r="S1821" s="670"/>
    </row>
    <row r="1822" spans="1:20">
      <c r="A1822" s="671"/>
      <c r="B1822" s="677"/>
      <c r="C1822" s="672"/>
      <c r="D1822" s="672"/>
      <c r="E1822" s="725" t="s">
        <v>2678</v>
      </c>
      <c r="F1822" s="675"/>
      <c r="G1822" s="672"/>
      <c r="H1822" s="676"/>
      <c r="Q1822" s="711"/>
      <c r="S1822" s="670"/>
    </row>
    <row r="1823" spans="1:20">
      <c r="A1823" s="671"/>
      <c r="B1823" s="677"/>
      <c r="C1823" s="672"/>
      <c r="D1823" s="672"/>
      <c r="E1823" s="676" t="s">
        <v>2679</v>
      </c>
      <c r="F1823" s="675"/>
      <c r="G1823" s="672"/>
      <c r="H1823" s="676"/>
      <c r="Q1823" s="711"/>
      <c r="S1823" s="670"/>
    </row>
    <row r="1824" spans="1:20">
      <c r="A1824" s="679">
        <v>1112234</v>
      </c>
      <c r="B1824" s="677"/>
      <c r="C1824" s="672"/>
      <c r="D1824" s="672"/>
      <c r="E1824" s="676" t="s">
        <v>2215</v>
      </c>
      <c r="F1824" s="680" t="s">
        <v>2680</v>
      </c>
      <c r="G1824" s="710">
        <v>111</v>
      </c>
      <c r="H1824" s="682">
        <v>2234</v>
      </c>
      <c r="J1824" s="668" t="str">
        <f t="shared" ref="J1824:J1830" si="314">E1824</f>
        <v>(a) Director/Supervisors</v>
      </c>
      <c r="L1824" s="668">
        <v>81</v>
      </c>
      <c r="M1824" s="669">
        <v>76</v>
      </c>
      <c r="N1824" s="668"/>
      <c r="O1824" s="668">
        <v>14</v>
      </c>
      <c r="P1824" s="668" t="str">
        <f>IFERROR(VLOOKUP(F1824, [2]MOE!B:C, 2, FALSE), "No")</f>
        <v>No</v>
      </c>
      <c r="Q1824" s="711" t="s">
        <v>1004</v>
      </c>
      <c r="S1824" s="670" t="s">
        <v>2681</v>
      </c>
      <c r="T1824" s="668" t="s">
        <v>2218</v>
      </c>
    </row>
    <row r="1825" spans="1:20">
      <c r="A1825" s="679">
        <v>1122234</v>
      </c>
      <c r="B1825" s="677"/>
      <c r="C1825" s="672"/>
      <c r="D1825" s="672"/>
      <c r="E1825" s="676" t="s">
        <v>2554</v>
      </c>
      <c r="F1825" s="680" t="s">
        <v>2682</v>
      </c>
      <c r="G1825" s="710">
        <v>112</v>
      </c>
      <c r="H1825" s="682">
        <v>2234</v>
      </c>
      <c r="J1825" s="668" t="str">
        <f t="shared" si="314"/>
        <v>(b) Staff Instructors</v>
      </c>
      <c r="L1825" s="668">
        <v>82</v>
      </c>
      <c r="M1825" s="669">
        <v>77</v>
      </c>
      <c r="N1825" s="668"/>
      <c r="O1825" s="668">
        <v>14</v>
      </c>
      <c r="P1825" s="668" t="str">
        <f>IFERROR(VLOOKUP(F1825, [2]MOE!B:C, 2, FALSE), "No")</f>
        <v>No</v>
      </c>
      <c r="Q1825" s="711" t="s">
        <v>1004</v>
      </c>
      <c r="S1825" s="670" t="s">
        <v>2681</v>
      </c>
      <c r="T1825" s="668" t="s">
        <v>2556</v>
      </c>
    </row>
    <row r="1826" spans="1:20">
      <c r="A1826" s="679">
        <v>1132234</v>
      </c>
      <c r="B1826" s="677"/>
      <c r="C1826" s="672"/>
      <c r="D1826" s="672"/>
      <c r="E1826" s="676" t="s">
        <v>2557</v>
      </c>
      <c r="F1826" s="680" t="s">
        <v>2683</v>
      </c>
      <c r="G1826" s="710">
        <v>113</v>
      </c>
      <c r="H1826" s="682">
        <v>2234</v>
      </c>
      <c r="J1826" s="668" t="str">
        <f t="shared" si="314"/>
        <v>(c) Specialists</v>
      </c>
      <c r="L1826" s="668">
        <v>83</v>
      </c>
      <c r="M1826" s="669">
        <v>78</v>
      </c>
      <c r="N1826" s="668"/>
      <c r="O1826" s="668">
        <v>14</v>
      </c>
      <c r="P1826" s="668" t="str">
        <f>IFERROR(VLOOKUP(F1826, [2]MOE!B:C, 2, FALSE), "No")</f>
        <v>No</v>
      </c>
      <c r="Q1826" s="711" t="s">
        <v>1004</v>
      </c>
      <c r="S1826" s="670" t="s">
        <v>2681</v>
      </c>
      <c r="T1826" s="668" t="s">
        <v>2221</v>
      </c>
    </row>
    <row r="1827" spans="1:20">
      <c r="A1827" s="679">
        <v>1002234</v>
      </c>
      <c r="B1827" s="677"/>
      <c r="C1827" s="672"/>
      <c r="D1827" s="672"/>
      <c r="E1827" s="676" t="s">
        <v>2224</v>
      </c>
      <c r="F1827" s="680" t="s">
        <v>2684</v>
      </c>
      <c r="G1827" s="710">
        <v>100</v>
      </c>
      <c r="H1827" s="682">
        <v>2234</v>
      </c>
      <c r="J1827" s="668" t="str">
        <f t="shared" si="314"/>
        <v>(d) Other Salaries</v>
      </c>
      <c r="L1827" s="668">
        <v>86</v>
      </c>
      <c r="M1827" s="669">
        <v>81</v>
      </c>
      <c r="N1827" s="668"/>
      <c r="O1827" s="668">
        <v>14</v>
      </c>
      <c r="P1827" s="668" t="str">
        <f>IFERROR(VLOOKUP(F1827, [2]MOE!B:C, 2, FALSE), "No")</f>
        <v>No</v>
      </c>
      <c r="Q1827" s="711" t="s">
        <v>1004</v>
      </c>
      <c r="S1827" s="670" t="s">
        <v>2681</v>
      </c>
      <c r="T1827" s="668" t="s">
        <v>1947</v>
      </c>
    </row>
    <row r="1828" spans="1:20">
      <c r="A1828" s="679">
        <v>1402234</v>
      </c>
      <c r="B1828" s="677"/>
      <c r="C1828" s="672"/>
      <c r="D1828" s="672"/>
      <c r="E1828" s="676" t="s">
        <v>2226</v>
      </c>
      <c r="F1828" s="680" t="s">
        <v>2685</v>
      </c>
      <c r="G1828" s="710">
        <v>140</v>
      </c>
      <c r="H1828" s="682">
        <v>2234</v>
      </c>
      <c r="J1828" s="668" t="str">
        <f t="shared" si="314"/>
        <v>(e) Sabbatical Leave</v>
      </c>
      <c r="L1828" s="668">
        <v>86</v>
      </c>
      <c r="M1828" s="669">
        <v>81</v>
      </c>
      <c r="N1828" s="668"/>
      <c r="O1828" s="668">
        <v>14</v>
      </c>
      <c r="P1828" s="668" t="str">
        <f>IFERROR(VLOOKUP(F1828, [2]MOE!B:C, 2, FALSE), "No")</f>
        <v>No</v>
      </c>
      <c r="Q1828" s="711" t="s">
        <v>1004</v>
      </c>
      <c r="S1828" s="670" t="s">
        <v>2681</v>
      </c>
      <c r="T1828" s="668" t="s">
        <v>1019</v>
      </c>
    </row>
    <row r="1829" spans="1:20">
      <c r="A1829" s="679">
        <v>1502234</v>
      </c>
      <c r="B1829" s="677"/>
      <c r="C1829" s="672"/>
      <c r="D1829" s="672"/>
      <c r="E1829" s="676" t="s">
        <v>2561</v>
      </c>
      <c r="F1829" s="680" t="s">
        <v>2686</v>
      </c>
      <c r="G1829" s="710">
        <v>150</v>
      </c>
      <c r="H1829" s="682">
        <v>2234</v>
      </c>
      <c r="J1829" s="668" t="str">
        <f t="shared" si="314"/>
        <v>(f) Stipend Pay</v>
      </c>
      <c r="L1829" s="668">
        <v>86</v>
      </c>
      <c r="M1829" s="669">
        <v>81</v>
      </c>
      <c r="N1829" s="668"/>
      <c r="O1829" s="668">
        <v>14</v>
      </c>
      <c r="P1829" s="668" t="str">
        <f>IFERROR(VLOOKUP(F1829, [2]MOE!B:C, 2, FALSE), "No")</f>
        <v>No</v>
      </c>
      <c r="Q1829" s="711" t="s">
        <v>1004</v>
      </c>
      <c r="S1829" s="670" t="s">
        <v>2681</v>
      </c>
      <c r="T1829" s="668" t="s">
        <v>2563</v>
      </c>
    </row>
    <row r="1830" spans="1:20">
      <c r="A1830" s="679">
        <v>3002234</v>
      </c>
      <c r="B1830" s="677"/>
      <c r="C1830" s="672"/>
      <c r="D1830" s="672"/>
      <c r="E1830" s="676" t="s">
        <v>2564</v>
      </c>
      <c r="F1830" s="680" t="s">
        <v>2687</v>
      </c>
      <c r="G1830" s="710">
        <v>300</v>
      </c>
      <c r="H1830" s="682">
        <v>2234</v>
      </c>
      <c r="J1830" s="668" t="str">
        <f t="shared" si="314"/>
        <v>(2) Purchased Professional and Tech Svcs</v>
      </c>
      <c r="L1830" s="668">
        <v>101</v>
      </c>
      <c r="M1830" s="669">
        <v>96</v>
      </c>
      <c r="N1830" s="668"/>
      <c r="O1830" s="668">
        <v>14</v>
      </c>
      <c r="P1830" s="668" t="str">
        <f>IFERROR(VLOOKUP(F1830, [2]MOE!B:C, 2, FALSE), "No")</f>
        <v>No</v>
      </c>
      <c r="Q1830" s="711"/>
      <c r="S1830" s="670" t="s">
        <v>2681</v>
      </c>
      <c r="T1830" s="668" t="s">
        <v>2566</v>
      </c>
    </row>
    <row r="1831" spans="1:20">
      <c r="A1831" s="671"/>
      <c r="B1831" s="677"/>
      <c r="C1831" s="672"/>
      <c r="D1831" s="672"/>
      <c r="E1831" s="676" t="s">
        <v>2231</v>
      </c>
      <c r="F1831" s="675"/>
      <c r="G1831" s="672"/>
      <c r="H1831" s="676"/>
      <c r="Q1831" s="711"/>
      <c r="S1831" s="670"/>
    </row>
    <row r="1832" spans="1:20">
      <c r="A1832" s="679">
        <v>4302234</v>
      </c>
      <c r="B1832" s="677"/>
      <c r="C1832" s="672"/>
      <c r="D1832" s="672"/>
      <c r="E1832" s="676" t="s">
        <v>2232</v>
      </c>
      <c r="F1832" s="680" t="s">
        <v>2688</v>
      </c>
      <c r="G1832" s="710">
        <v>430</v>
      </c>
      <c r="H1832" s="682">
        <v>2234</v>
      </c>
      <c r="J1832" s="668" t="str">
        <f t="shared" ref="J1832:J1834" si="315">E1832</f>
        <v>(a) Repairs and Maintenance Services</v>
      </c>
      <c r="L1832" s="668">
        <v>107</v>
      </c>
      <c r="M1832" s="669">
        <v>102</v>
      </c>
      <c r="N1832" s="668"/>
      <c r="O1832" s="668">
        <v>14</v>
      </c>
      <c r="P1832" s="668" t="str">
        <f>IFERROR(VLOOKUP(F1832, [2]MOE!B:C, 2, FALSE), "No")</f>
        <v>No</v>
      </c>
      <c r="Q1832" s="711"/>
      <c r="S1832" s="670" t="s">
        <v>2681</v>
      </c>
      <c r="T1832" s="668" t="s">
        <v>1023</v>
      </c>
    </row>
    <row r="1833" spans="1:20">
      <c r="A1833" s="679">
        <v>4422234</v>
      </c>
      <c r="B1833" s="677"/>
      <c r="C1833" s="672"/>
      <c r="D1833" s="672"/>
      <c r="E1833" s="676" t="s">
        <v>2234</v>
      </c>
      <c r="F1833" s="680" t="s">
        <v>2689</v>
      </c>
      <c r="G1833" s="710">
        <v>442</v>
      </c>
      <c r="H1833" s="682">
        <v>2234</v>
      </c>
      <c r="J1833" s="668" t="str">
        <f t="shared" si="315"/>
        <v>(b) Rental of Equipment</v>
      </c>
      <c r="L1833" s="668">
        <v>106</v>
      </c>
      <c r="M1833" s="669">
        <v>101</v>
      </c>
      <c r="N1833" s="668"/>
      <c r="O1833" s="668">
        <v>14</v>
      </c>
      <c r="P1833" s="668" t="str">
        <f>IFERROR(VLOOKUP(F1833, [2]MOE!B:C, 2, FALSE), "No")</f>
        <v>No</v>
      </c>
      <c r="Q1833" s="711"/>
      <c r="S1833" s="670" t="s">
        <v>2681</v>
      </c>
      <c r="T1833" s="668" t="s">
        <v>1025</v>
      </c>
    </row>
    <row r="1834" spans="1:20">
      <c r="A1834" s="679">
        <v>4002234</v>
      </c>
      <c r="B1834" s="677"/>
      <c r="C1834" s="672"/>
      <c r="D1834" s="672"/>
      <c r="E1834" s="676" t="s">
        <v>2236</v>
      </c>
      <c r="F1834" s="680" t="s">
        <v>2690</v>
      </c>
      <c r="G1834" s="710">
        <v>400</v>
      </c>
      <c r="H1834" s="682">
        <v>2234</v>
      </c>
      <c r="J1834" s="668" t="str">
        <f t="shared" si="315"/>
        <v>(c) Other Purchased Property Svcs</v>
      </c>
      <c r="L1834" s="668">
        <v>108</v>
      </c>
      <c r="M1834" s="669">
        <v>103</v>
      </c>
      <c r="N1834" s="668"/>
      <c r="O1834" s="668">
        <v>14</v>
      </c>
      <c r="P1834" s="668" t="str">
        <f>IFERROR(VLOOKUP(F1834, [2]MOE!B:C, 2, FALSE), "No")</f>
        <v>No</v>
      </c>
      <c r="Q1834" s="711"/>
      <c r="S1834" s="670" t="s">
        <v>2681</v>
      </c>
      <c r="T1834" s="668" t="s">
        <v>2238</v>
      </c>
    </row>
    <row r="1835" spans="1:20">
      <c r="A1835" s="671"/>
      <c r="B1835" s="677"/>
      <c r="C1835" s="672"/>
      <c r="D1835" s="672"/>
      <c r="E1835" s="676" t="s">
        <v>1395</v>
      </c>
      <c r="F1835" s="675"/>
      <c r="G1835" s="672"/>
      <c r="H1835" s="676"/>
      <c r="Q1835" s="711"/>
      <c r="S1835" s="670"/>
    </row>
    <row r="1836" spans="1:20">
      <c r="A1836" s="679">
        <v>5822234</v>
      </c>
      <c r="B1836" s="677"/>
      <c r="C1836" s="672"/>
      <c r="D1836" s="672"/>
      <c r="E1836" s="676" t="s">
        <v>2239</v>
      </c>
      <c r="F1836" s="680" t="s">
        <v>2691</v>
      </c>
      <c r="G1836" s="710">
        <v>582</v>
      </c>
      <c r="H1836" s="682">
        <v>2234</v>
      </c>
      <c r="J1836" s="668" t="str">
        <f t="shared" ref="J1836:J1837" si="316">E1836</f>
        <v>(a) Travel Expense Reimbursement</v>
      </c>
      <c r="L1836" s="668">
        <v>118</v>
      </c>
      <c r="M1836" s="669">
        <v>109</v>
      </c>
      <c r="N1836" s="668"/>
      <c r="O1836" s="668">
        <v>14</v>
      </c>
      <c r="P1836" s="668" t="str">
        <f>IFERROR(VLOOKUP(F1836, [2]MOE!B:C, 2, FALSE), "No")</f>
        <v>No</v>
      </c>
      <c r="Q1836" s="711"/>
      <c r="S1836" s="670" t="s">
        <v>2681</v>
      </c>
      <c r="T1836" s="668" t="s">
        <v>1039</v>
      </c>
    </row>
    <row r="1837" spans="1:20">
      <c r="A1837" s="679">
        <v>5002234</v>
      </c>
      <c r="B1837" s="677"/>
      <c r="C1837" s="672"/>
      <c r="D1837" s="672"/>
      <c r="E1837" s="676" t="s">
        <v>2241</v>
      </c>
      <c r="F1837" s="680" t="s">
        <v>2692</v>
      </c>
      <c r="G1837" s="710">
        <v>500</v>
      </c>
      <c r="H1837" s="682">
        <v>2234</v>
      </c>
      <c r="J1837" s="668" t="str">
        <f t="shared" si="316"/>
        <v>(b) Other Purchased Services</v>
      </c>
      <c r="L1837" s="668">
        <v>119</v>
      </c>
      <c r="M1837" s="669">
        <v>110</v>
      </c>
      <c r="N1837" s="668"/>
      <c r="O1837" s="668">
        <v>14</v>
      </c>
      <c r="P1837" s="668" t="str">
        <f>IFERROR(VLOOKUP(F1837, [2]MOE!B:C, 2, FALSE), "No")</f>
        <v>No</v>
      </c>
      <c r="Q1837" s="711"/>
      <c r="S1837" s="670" t="s">
        <v>2681</v>
      </c>
      <c r="T1837" s="668" t="s">
        <v>252</v>
      </c>
    </row>
    <row r="1838" spans="1:20">
      <c r="A1838" s="671"/>
      <c r="B1838" s="677"/>
      <c r="C1838" s="672"/>
      <c r="D1838" s="672"/>
      <c r="E1838" s="676" t="s">
        <v>2243</v>
      </c>
      <c r="F1838" s="675"/>
      <c r="G1838" s="672"/>
      <c r="H1838" s="676"/>
      <c r="Q1838" s="711"/>
      <c r="S1838" s="670"/>
    </row>
    <row r="1839" spans="1:20">
      <c r="A1839" s="679">
        <v>6152234</v>
      </c>
      <c r="B1839" s="677"/>
      <c r="C1839" s="672"/>
      <c r="D1839" s="672"/>
      <c r="E1839" s="676" t="s">
        <v>2244</v>
      </c>
      <c r="F1839" s="680" t="s">
        <v>2693</v>
      </c>
      <c r="G1839" s="710">
        <v>615</v>
      </c>
      <c r="H1839" s="682">
        <v>2234</v>
      </c>
      <c r="J1839" s="668" t="str">
        <f t="shared" ref="J1839:J1841" si="317">E1839</f>
        <v>(a) Technology-Related Supplies</v>
      </c>
      <c r="L1839" s="668">
        <v>126</v>
      </c>
      <c r="M1839" s="669">
        <v>117</v>
      </c>
      <c r="N1839" s="668"/>
      <c r="O1839" s="668">
        <v>14</v>
      </c>
      <c r="P1839" s="668" t="str">
        <f>IFERROR(VLOOKUP(F1839, [2]MOE!B:C, 2, FALSE), "No")</f>
        <v>No</v>
      </c>
      <c r="Q1839" s="711" t="s">
        <v>1045</v>
      </c>
      <c r="S1839" s="670" t="s">
        <v>2681</v>
      </c>
      <c r="T1839" s="668" t="s">
        <v>1043</v>
      </c>
    </row>
    <row r="1840" spans="1:20">
      <c r="A1840" s="679">
        <v>6102234</v>
      </c>
      <c r="B1840" s="677"/>
      <c r="C1840" s="672"/>
      <c r="D1840" s="672"/>
      <c r="E1840" s="676" t="s">
        <v>2246</v>
      </c>
      <c r="F1840" s="680" t="s">
        <v>2694</v>
      </c>
      <c r="G1840" s="710">
        <v>610</v>
      </c>
      <c r="H1840" s="682">
        <v>2234</v>
      </c>
      <c r="J1840" s="668" t="str">
        <f t="shared" si="317"/>
        <v>(b) Materials and Supplies</v>
      </c>
      <c r="L1840" s="668">
        <v>122</v>
      </c>
      <c r="M1840" s="669">
        <v>113</v>
      </c>
      <c r="N1840" s="668"/>
      <c r="O1840" s="668">
        <v>14</v>
      </c>
      <c r="P1840" s="668" t="str">
        <f>IFERROR(VLOOKUP(F1840, [2]MOE!B:C, 2, FALSE), "No")</f>
        <v>No</v>
      </c>
      <c r="Q1840" s="711" t="s">
        <v>1045</v>
      </c>
      <c r="S1840" s="670" t="s">
        <v>2681</v>
      </c>
      <c r="T1840" s="668" t="s">
        <v>39</v>
      </c>
    </row>
    <row r="1841" spans="1:20">
      <c r="A1841" s="679">
        <v>6002234</v>
      </c>
      <c r="B1841" s="677"/>
      <c r="C1841" s="672"/>
      <c r="D1841" s="672"/>
      <c r="E1841" s="676" t="s">
        <v>2248</v>
      </c>
      <c r="F1841" s="680" t="s">
        <v>2695</v>
      </c>
      <c r="G1841" s="710">
        <v>600</v>
      </c>
      <c r="H1841" s="682">
        <v>2234</v>
      </c>
      <c r="J1841" s="668" t="str">
        <f t="shared" si="317"/>
        <v>(c) Other Supplies</v>
      </c>
      <c r="L1841" s="668">
        <v>126</v>
      </c>
      <c r="M1841" s="669">
        <v>117</v>
      </c>
      <c r="N1841" s="668"/>
      <c r="O1841" s="668">
        <v>14</v>
      </c>
      <c r="P1841" s="668" t="str">
        <f>IFERROR(VLOOKUP(F1841, [2]MOE!B:C, 2, FALSE), "No")</f>
        <v>No</v>
      </c>
      <c r="Q1841" s="711"/>
      <c r="S1841" s="670" t="s">
        <v>2681</v>
      </c>
      <c r="T1841" s="668" t="s">
        <v>1050</v>
      </c>
    </row>
    <row r="1842" spans="1:20">
      <c r="A1842" s="671"/>
      <c r="B1842" s="677"/>
      <c r="C1842" s="672"/>
      <c r="D1842" s="672"/>
      <c r="E1842" s="676" t="s">
        <v>2250</v>
      </c>
      <c r="F1842" s="675"/>
      <c r="G1842" s="672"/>
      <c r="H1842" s="676"/>
      <c r="Q1842" s="711"/>
      <c r="S1842" s="670"/>
    </row>
    <row r="1843" spans="1:20">
      <c r="A1843" s="679">
        <v>7342234</v>
      </c>
      <c r="B1843" s="677"/>
      <c r="C1843" s="672"/>
      <c r="D1843" s="672"/>
      <c r="E1843" s="676" t="s">
        <v>2251</v>
      </c>
      <c r="F1843" s="680" t="s">
        <v>2696</v>
      </c>
      <c r="G1843" s="710">
        <v>734</v>
      </c>
      <c r="H1843" s="682">
        <v>2234</v>
      </c>
      <c r="J1843" s="668" t="str">
        <f t="shared" ref="J1843:J1846" si="318">E1843</f>
        <v>(a) Technology-Related Hardware</v>
      </c>
      <c r="L1843" s="668">
        <v>131</v>
      </c>
      <c r="M1843" s="669">
        <v>122</v>
      </c>
      <c r="N1843" s="668"/>
      <c r="O1843" s="668">
        <v>14</v>
      </c>
      <c r="P1843" s="668" t="str">
        <f>IFERROR(VLOOKUP(F1843, [2]MOE!B:C, 2, FALSE), "No")</f>
        <v>No</v>
      </c>
      <c r="Q1843" s="711"/>
      <c r="S1843" s="670" t="s">
        <v>2681</v>
      </c>
      <c r="T1843" s="668" t="s">
        <v>1053</v>
      </c>
    </row>
    <row r="1844" spans="1:20">
      <c r="A1844" s="679">
        <v>7352234</v>
      </c>
      <c r="B1844" s="677"/>
      <c r="C1844" s="672"/>
      <c r="D1844" s="672"/>
      <c r="E1844" s="676" t="s">
        <v>2253</v>
      </c>
      <c r="F1844" s="680" t="s">
        <v>2697</v>
      </c>
      <c r="G1844" s="710">
        <v>735</v>
      </c>
      <c r="H1844" s="682">
        <v>2234</v>
      </c>
      <c r="J1844" s="668" t="str">
        <f t="shared" si="318"/>
        <v>(b) Technology Software</v>
      </c>
      <c r="L1844" s="668">
        <v>131</v>
      </c>
      <c r="M1844" s="669">
        <v>122</v>
      </c>
      <c r="N1844" s="668"/>
      <c r="O1844" s="668">
        <v>14</v>
      </c>
      <c r="P1844" s="668" t="str">
        <f>IFERROR(VLOOKUP(F1844, [2]MOE!B:C, 2, FALSE), "No")</f>
        <v>No</v>
      </c>
      <c r="Q1844" s="711"/>
      <c r="S1844" s="670" t="s">
        <v>2681</v>
      </c>
      <c r="T1844" s="668" t="s">
        <v>1055</v>
      </c>
    </row>
    <row r="1845" spans="1:20">
      <c r="A1845" s="679">
        <v>7302234</v>
      </c>
      <c r="B1845" s="677"/>
      <c r="C1845" s="672"/>
      <c r="D1845" s="672"/>
      <c r="E1845" s="676" t="s">
        <v>2255</v>
      </c>
      <c r="F1845" s="680" t="s">
        <v>2698</v>
      </c>
      <c r="G1845" s="710">
        <v>730</v>
      </c>
      <c r="H1845" s="682">
        <v>2234</v>
      </c>
      <c r="J1845" s="668" t="str">
        <f t="shared" si="318"/>
        <v>(c) All Other Equipment</v>
      </c>
      <c r="L1845" s="668">
        <v>131</v>
      </c>
      <c r="M1845" s="669">
        <v>122</v>
      </c>
      <c r="N1845" s="668"/>
      <c r="O1845" s="668">
        <v>14</v>
      </c>
      <c r="P1845" s="668" t="str">
        <f>IFERROR(VLOOKUP(F1845, [2]MOE!B:C, 2, FALSE), "No")</f>
        <v>No</v>
      </c>
      <c r="Q1845" s="711"/>
      <c r="S1845" s="670" t="s">
        <v>2681</v>
      </c>
      <c r="T1845" s="668" t="s">
        <v>1057</v>
      </c>
    </row>
    <row r="1846" spans="1:20">
      <c r="A1846" s="679">
        <v>7002234</v>
      </c>
      <c r="B1846" s="677"/>
      <c r="C1846" s="672"/>
      <c r="D1846" s="672"/>
      <c r="E1846" s="676" t="s">
        <v>2257</v>
      </c>
      <c r="F1846" s="680" t="s">
        <v>2699</v>
      </c>
      <c r="G1846" s="710">
        <v>700</v>
      </c>
      <c r="H1846" s="682">
        <v>2234</v>
      </c>
      <c r="J1846" s="668" t="str">
        <f t="shared" si="318"/>
        <v>(d) Other Property</v>
      </c>
      <c r="L1846" s="668">
        <v>132</v>
      </c>
      <c r="M1846" s="669">
        <v>123</v>
      </c>
      <c r="N1846" s="668"/>
      <c r="O1846" s="668">
        <v>14</v>
      </c>
      <c r="P1846" s="668" t="str">
        <f>IFERROR(VLOOKUP(F1846, [2]MOE!B:C, 2, FALSE), "No")</f>
        <v>No</v>
      </c>
      <c r="Q1846" s="711"/>
      <c r="S1846" s="670" t="s">
        <v>2681</v>
      </c>
      <c r="T1846" s="668" t="s">
        <v>1059</v>
      </c>
    </row>
    <row r="1847" spans="1:20">
      <c r="A1847" s="671"/>
      <c r="B1847" s="677"/>
      <c r="C1847" s="672"/>
      <c r="D1847" s="672"/>
      <c r="E1847" s="676" t="s">
        <v>2259</v>
      </c>
      <c r="F1847" s="675"/>
      <c r="G1847" s="672"/>
      <c r="H1847" s="676"/>
      <c r="Q1847" s="711"/>
      <c r="S1847" s="670"/>
    </row>
    <row r="1848" spans="1:20">
      <c r="A1848" s="679">
        <v>8952234</v>
      </c>
      <c r="B1848" s="677"/>
      <c r="C1848" s="672"/>
      <c r="D1848" s="672"/>
      <c r="E1848" s="676" t="s">
        <v>2260</v>
      </c>
      <c r="F1848" s="680" t="s">
        <v>2700</v>
      </c>
      <c r="G1848" s="710">
        <v>895</v>
      </c>
      <c r="H1848" s="682">
        <v>2234</v>
      </c>
      <c r="J1848" s="668" t="str">
        <f t="shared" ref="J1848:J1849" si="319">E1848</f>
        <v>(a) Misc. Non-Public Expenditures</v>
      </c>
      <c r="L1848" s="668">
        <v>139</v>
      </c>
      <c r="M1848" s="669">
        <v>129</v>
      </c>
      <c r="N1848" s="668"/>
      <c r="O1848" s="668">
        <v>14</v>
      </c>
      <c r="P1848" s="668" t="str">
        <f>IFERROR(VLOOKUP(F1848, [2]MOE!B:C, 2, FALSE), "No")</f>
        <v>No</v>
      </c>
      <c r="Q1848" s="711"/>
      <c r="S1848" s="670" t="s">
        <v>2681</v>
      </c>
      <c r="T1848" s="668" t="s">
        <v>2262</v>
      </c>
    </row>
    <row r="1849" spans="1:20">
      <c r="A1849" s="679">
        <v>8002234</v>
      </c>
      <c r="B1849" s="677"/>
      <c r="C1849" s="672"/>
      <c r="D1849" s="672"/>
      <c r="E1849" s="676" t="s">
        <v>2263</v>
      </c>
      <c r="F1849" s="680" t="s">
        <v>2701</v>
      </c>
      <c r="G1849" s="710">
        <v>800</v>
      </c>
      <c r="H1849" s="682">
        <v>2234</v>
      </c>
      <c r="J1849" s="668" t="str">
        <f t="shared" si="319"/>
        <v>(b) Other Miscellaneous Expenditures</v>
      </c>
      <c r="L1849" s="668">
        <v>139</v>
      </c>
      <c r="M1849" s="669">
        <v>129</v>
      </c>
      <c r="N1849" s="668"/>
      <c r="O1849" s="668">
        <v>14</v>
      </c>
      <c r="P1849" s="668" t="str">
        <f>IFERROR(VLOOKUP(F1849, [2]MOE!B:C, 2, FALSE), "No")</f>
        <v>No</v>
      </c>
      <c r="Q1849" s="711"/>
      <c r="S1849" s="670" t="s">
        <v>2681</v>
      </c>
      <c r="T1849" s="668" t="s">
        <v>1063</v>
      </c>
    </row>
    <row r="1850" spans="1:20">
      <c r="A1850" s="671"/>
      <c r="B1850" s="677"/>
      <c r="C1850" s="672"/>
      <c r="D1850" s="672"/>
      <c r="E1850" s="676" t="s">
        <v>2265</v>
      </c>
      <c r="F1850" s="675"/>
      <c r="G1850" s="672"/>
      <c r="H1850" s="676"/>
      <c r="Q1850" s="711"/>
      <c r="S1850" s="670"/>
    </row>
    <row r="1851" spans="1:20">
      <c r="A1851" s="679">
        <v>2102234</v>
      </c>
      <c r="B1851" s="677"/>
      <c r="C1851" s="672"/>
      <c r="D1851" s="672"/>
      <c r="E1851" s="676" t="s">
        <v>2266</v>
      </c>
      <c r="F1851" s="680" t="s">
        <v>2702</v>
      </c>
      <c r="G1851" s="710">
        <v>210</v>
      </c>
      <c r="H1851" s="682">
        <v>2234</v>
      </c>
      <c r="J1851" s="668" t="str">
        <f t="shared" ref="J1851:J1853" si="320">E1851</f>
        <v>(a) Group Insurance</v>
      </c>
      <c r="L1851" s="668">
        <v>89</v>
      </c>
      <c r="M1851" s="669">
        <v>84</v>
      </c>
      <c r="N1851" s="668"/>
      <c r="O1851" s="668">
        <v>14</v>
      </c>
      <c r="P1851" s="668" t="str">
        <f>IFERROR(VLOOKUP(F1851, [2]MOE!B:C, 2, FALSE), "No")</f>
        <v>No</v>
      </c>
      <c r="Q1851" s="711" t="s">
        <v>1004</v>
      </c>
      <c r="S1851" s="670" t="s">
        <v>2681</v>
      </c>
      <c r="T1851" s="668" t="s">
        <v>1066</v>
      </c>
    </row>
    <row r="1852" spans="1:20">
      <c r="A1852" s="679">
        <v>2202234</v>
      </c>
      <c r="B1852" s="677"/>
      <c r="C1852" s="672"/>
      <c r="D1852" s="672"/>
      <c r="E1852" s="676" t="s">
        <v>2268</v>
      </c>
      <c r="F1852" s="680" t="s">
        <v>2703</v>
      </c>
      <c r="G1852" s="710">
        <v>220</v>
      </c>
      <c r="H1852" s="682">
        <v>2234</v>
      </c>
      <c r="J1852" s="668" t="str">
        <f t="shared" si="320"/>
        <v>(b) FICA</v>
      </c>
      <c r="L1852" s="668">
        <v>90</v>
      </c>
      <c r="M1852" s="669">
        <v>85</v>
      </c>
      <c r="N1852" s="668"/>
      <c r="O1852" s="668">
        <v>14</v>
      </c>
      <c r="P1852" s="668" t="str">
        <f>IFERROR(VLOOKUP(F1852, [2]MOE!B:C, 2, FALSE), "No")</f>
        <v>No</v>
      </c>
      <c r="Q1852" s="711" t="s">
        <v>1004</v>
      </c>
      <c r="S1852" s="670" t="s">
        <v>2681</v>
      </c>
      <c r="T1852" s="668" t="s">
        <v>1068</v>
      </c>
    </row>
    <row r="1853" spans="1:20">
      <c r="A1853" s="679">
        <v>2252234</v>
      </c>
      <c r="B1853" s="677"/>
      <c r="C1853" s="672"/>
      <c r="D1853" s="672"/>
      <c r="E1853" s="676" t="s">
        <v>2270</v>
      </c>
      <c r="F1853" s="680" t="s">
        <v>2704</v>
      </c>
      <c r="G1853" s="710">
        <v>225</v>
      </c>
      <c r="H1853" s="682">
        <v>2234</v>
      </c>
      <c r="J1853" s="668" t="str">
        <f t="shared" si="320"/>
        <v>(c) Medicare</v>
      </c>
      <c r="L1853" s="668">
        <v>91</v>
      </c>
      <c r="M1853" s="669">
        <v>86</v>
      </c>
      <c r="N1853" s="668"/>
      <c r="O1853" s="668">
        <v>14</v>
      </c>
      <c r="P1853" s="668" t="str">
        <f>IFERROR(VLOOKUP(F1853, [2]MOE!B:C, 2, FALSE), "No")</f>
        <v>No</v>
      </c>
      <c r="Q1853" s="711" t="s">
        <v>1004</v>
      </c>
      <c r="S1853" s="670" t="s">
        <v>2681</v>
      </c>
      <c r="T1853" s="668" t="s">
        <v>23</v>
      </c>
    </row>
    <row r="1854" spans="1:20">
      <c r="A1854" s="671"/>
      <c r="B1854" s="677"/>
      <c r="C1854" s="672"/>
      <c r="D1854" s="672"/>
      <c r="E1854" s="676" t="s">
        <v>2272</v>
      </c>
      <c r="F1854" s="675"/>
      <c r="G1854" s="672"/>
      <c r="H1854" s="676"/>
      <c r="Q1854" s="711"/>
      <c r="S1854" s="670"/>
    </row>
    <row r="1855" spans="1:20">
      <c r="A1855" s="679">
        <v>2312234</v>
      </c>
      <c r="B1855" s="677"/>
      <c r="C1855" s="672"/>
      <c r="D1855" s="672"/>
      <c r="E1855" s="676" t="s">
        <v>2273</v>
      </c>
      <c r="F1855" s="680" t="s">
        <v>2705</v>
      </c>
      <c r="G1855" s="710">
        <v>231</v>
      </c>
      <c r="H1855" s="682">
        <v>2234</v>
      </c>
      <c r="J1855" s="668" t="str">
        <f t="shared" ref="J1855:J1864" si="321">E1855</f>
        <v>1) Louisiana Teachers Retirement</v>
      </c>
      <c r="L1855" s="668">
        <v>92</v>
      </c>
      <c r="M1855" s="669">
        <v>87</v>
      </c>
      <c r="N1855" s="668"/>
      <c r="O1855" s="668">
        <v>14</v>
      </c>
      <c r="P1855" s="668" t="str">
        <f>IFERROR(VLOOKUP(F1855, [2]MOE!B:C, 2, FALSE), "No")</f>
        <v>No</v>
      </c>
      <c r="Q1855" s="711" t="s">
        <v>1004</v>
      </c>
      <c r="S1855" s="670" t="s">
        <v>2681</v>
      </c>
      <c r="T1855" s="668" t="s">
        <v>1074</v>
      </c>
    </row>
    <row r="1856" spans="1:20">
      <c r="A1856" s="679">
        <v>2332234</v>
      </c>
      <c r="B1856" s="677"/>
      <c r="C1856" s="672"/>
      <c r="D1856" s="672"/>
      <c r="E1856" s="676" t="s">
        <v>2275</v>
      </c>
      <c r="F1856" s="680" t="s">
        <v>2706</v>
      </c>
      <c r="G1856" s="710">
        <v>233</v>
      </c>
      <c r="H1856" s="682">
        <v>2234</v>
      </c>
      <c r="J1856" s="668" t="str">
        <f t="shared" si="321"/>
        <v>2) Louisiana School Emp. Retire.</v>
      </c>
      <c r="L1856" s="668">
        <v>92</v>
      </c>
      <c r="M1856" s="669">
        <v>87</v>
      </c>
      <c r="N1856" s="668"/>
      <c r="O1856" s="668">
        <v>14</v>
      </c>
      <c r="P1856" s="668" t="str">
        <f>IFERROR(VLOOKUP(F1856, [2]MOE!B:C, 2, FALSE), "No")</f>
        <v>No</v>
      </c>
      <c r="Q1856" s="711" t="s">
        <v>1004</v>
      </c>
      <c r="S1856" s="670" t="s">
        <v>2681</v>
      </c>
      <c r="T1856" s="668" t="s">
        <v>2277</v>
      </c>
    </row>
    <row r="1857" spans="1:20">
      <c r="A1857" s="679">
        <v>2392234</v>
      </c>
      <c r="B1857" s="677"/>
      <c r="C1857" s="672"/>
      <c r="D1857" s="672"/>
      <c r="E1857" s="676" t="s">
        <v>2278</v>
      </c>
      <c r="F1857" s="680" t="s">
        <v>2707</v>
      </c>
      <c r="G1857" s="710">
        <v>239</v>
      </c>
      <c r="H1857" s="682">
        <v>2234</v>
      </c>
      <c r="J1857" s="668" t="str">
        <f t="shared" si="321"/>
        <v>3) Other Retirement</v>
      </c>
      <c r="L1857" s="668">
        <v>92</v>
      </c>
      <c r="M1857" s="669">
        <v>87</v>
      </c>
      <c r="N1857" s="668"/>
      <c r="O1857" s="668">
        <v>14</v>
      </c>
      <c r="P1857" s="668" t="str">
        <f>IFERROR(VLOOKUP(F1857, [2]MOE!B:C, 2, FALSE), "No")</f>
        <v>No</v>
      </c>
      <c r="Q1857" s="711" t="s">
        <v>1004</v>
      </c>
      <c r="S1857" s="670" t="s">
        <v>2681</v>
      </c>
      <c r="T1857" s="668" t="s">
        <v>1080</v>
      </c>
    </row>
    <row r="1858" spans="1:20">
      <c r="A1858" s="679">
        <v>2402234</v>
      </c>
      <c r="B1858" s="677"/>
      <c r="C1858" s="672"/>
      <c r="D1858" s="672"/>
      <c r="E1858" s="676" t="s">
        <v>2587</v>
      </c>
      <c r="F1858" s="680" t="s">
        <v>2708</v>
      </c>
      <c r="G1858" s="710">
        <v>240</v>
      </c>
      <c r="H1858" s="682">
        <v>2234</v>
      </c>
      <c r="J1858" s="668" t="str">
        <f t="shared" si="321"/>
        <v>(e) Educational Reimbursement</v>
      </c>
      <c r="L1858" s="668">
        <v>95</v>
      </c>
      <c r="M1858" s="669">
        <v>90</v>
      </c>
      <c r="N1858" s="668"/>
      <c r="O1858" s="668">
        <v>14</v>
      </c>
      <c r="P1858" s="668" t="str">
        <f>IFERROR(VLOOKUP(F1858, [2]MOE!B:C, 2, FALSE), "No")</f>
        <v>No</v>
      </c>
      <c r="Q1858" s="711" t="s">
        <v>1004</v>
      </c>
      <c r="S1858" s="670" t="s">
        <v>2681</v>
      </c>
      <c r="T1858" s="668" t="s">
        <v>2589</v>
      </c>
    </row>
    <row r="1859" spans="1:20">
      <c r="A1859" s="679">
        <v>2502234</v>
      </c>
      <c r="B1859" s="677"/>
      <c r="C1859" s="672"/>
      <c r="D1859" s="672"/>
      <c r="E1859" s="676" t="s">
        <v>2590</v>
      </c>
      <c r="F1859" s="680" t="s">
        <v>2709</v>
      </c>
      <c r="G1859" s="710">
        <v>250</v>
      </c>
      <c r="H1859" s="682">
        <v>2234</v>
      </c>
      <c r="J1859" s="668" t="str">
        <f t="shared" si="321"/>
        <v>(f) Unemployment Compensation</v>
      </c>
      <c r="L1859" s="668">
        <v>93</v>
      </c>
      <c r="M1859" s="669">
        <v>88</v>
      </c>
      <c r="N1859" s="668"/>
      <c r="O1859" s="668">
        <v>14</v>
      </c>
      <c r="P1859" s="668" t="str">
        <f>IFERROR(VLOOKUP(F1859, [2]MOE!B:C, 2, FALSE), "No")</f>
        <v>No</v>
      </c>
      <c r="Q1859" s="711" t="s">
        <v>1004</v>
      </c>
      <c r="S1859" s="670" t="s">
        <v>2681</v>
      </c>
      <c r="T1859" s="668" t="s">
        <v>1081</v>
      </c>
    </row>
    <row r="1860" spans="1:20">
      <c r="A1860" s="679">
        <v>2602234</v>
      </c>
      <c r="B1860" s="677"/>
      <c r="C1860" s="672"/>
      <c r="D1860" s="672"/>
      <c r="E1860" s="676" t="s">
        <v>2592</v>
      </c>
      <c r="F1860" s="680" t="s">
        <v>2710</v>
      </c>
      <c r="G1860" s="710">
        <v>260</v>
      </c>
      <c r="H1860" s="682">
        <v>2234</v>
      </c>
      <c r="J1860" s="668" t="str">
        <f t="shared" si="321"/>
        <v>(g) Workmen's Compensation</v>
      </c>
      <c r="L1860" s="668">
        <v>95</v>
      </c>
      <c r="M1860" s="669">
        <v>90</v>
      </c>
      <c r="N1860" s="668"/>
      <c r="O1860" s="668">
        <v>14</v>
      </c>
      <c r="P1860" s="668" t="str">
        <f>IFERROR(VLOOKUP(F1860, [2]MOE!B:C, 2, FALSE), "No")</f>
        <v>No</v>
      </c>
      <c r="Q1860" s="711" t="s">
        <v>1004</v>
      </c>
      <c r="S1860" s="670" t="s">
        <v>2681</v>
      </c>
      <c r="T1860" s="668" t="s">
        <v>1083</v>
      </c>
    </row>
    <row r="1861" spans="1:20">
      <c r="A1861" s="679">
        <v>2702234</v>
      </c>
      <c r="B1861" s="677"/>
      <c r="C1861" s="672"/>
      <c r="D1861" s="672"/>
      <c r="E1861" s="676" t="s">
        <v>2594</v>
      </c>
      <c r="F1861" s="680" t="s">
        <v>2711</v>
      </c>
      <c r="G1861" s="710">
        <v>270</v>
      </c>
      <c r="H1861" s="682">
        <v>2234</v>
      </c>
      <c r="J1861" s="668" t="str">
        <f t="shared" si="321"/>
        <v>(h) Health Benefits (retirees)</v>
      </c>
      <c r="L1861" s="668">
        <v>94</v>
      </c>
      <c r="M1861" s="669">
        <v>89</v>
      </c>
      <c r="N1861" s="668"/>
      <c r="O1861" s="668">
        <v>14</v>
      </c>
      <c r="P1861" s="668" t="str">
        <f>IFERROR(VLOOKUP(F1861, [2]MOE!B:C, 2, FALSE), "No")</f>
        <v>No</v>
      </c>
      <c r="Q1861" s="711" t="s">
        <v>1004</v>
      </c>
      <c r="S1861" s="670" t="s">
        <v>2681</v>
      </c>
      <c r="T1861" s="668" t="s">
        <v>1085</v>
      </c>
    </row>
    <row r="1862" spans="1:20">
      <c r="A1862" s="679">
        <v>2812234</v>
      </c>
      <c r="B1862" s="677"/>
      <c r="C1862" s="672"/>
      <c r="D1862" s="672"/>
      <c r="E1862" s="676" t="s">
        <v>2596</v>
      </c>
      <c r="F1862" s="680" t="s">
        <v>2712</v>
      </c>
      <c r="G1862" s="710">
        <v>281</v>
      </c>
      <c r="H1862" s="682">
        <v>2234</v>
      </c>
      <c r="J1862" s="668" t="str">
        <f t="shared" si="321"/>
        <v>(i) Sick Leave Severance Pay</v>
      </c>
      <c r="L1862" s="668">
        <v>95</v>
      </c>
      <c r="M1862" s="669">
        <v>90</v>
      </c>
      <c r="N1862" s="668"/>
      <c r="O1862" s="668">
        <v>14</v>
      </c>
      <c r="P1862" s="668" t="str">
        <f>IFERROR(VLOOKUP(F1862, [2]MOE!B:C, 2, FALSE), "No")</f>
        <v>No</v>
      </c>
      <c r="Q1862" s="711" t="s">
        <v>1004</v>
      </c>
      <c r="S1862" s="670" t="s">
        <v>2681</v>
      </c>
      <c r="T1862" s="668" t="s">
        <v>1087</v>
      </c>
    </row>
    <row r="1863" spans="1:20">
      <c r="A1863" s="679">
        <v>2822234</v>
      </c>
      <c r="B1863" s="677"/>
      <c r="C1863" s="672"/>
      <c r="D1863" s="672"/>
      <c r="E1863" s="676" t="s">
        <v>2598</v>
      </c>
      <c r="F1863" s="680" t="s">
        <v>2713</v>
      </c>
      <c r="G1863" s="710">
        <v>282</v>
      </c>
      <c r="H1863" s="682">
        <v>2234</v>
      </c>
      <c r="J1863" s="668" t="str">
        <f t="shared" si="321"/>
        <v>(j) Annual Leave Severance Pay</v>
      </c>
      <c r="L1863" s="668">
        <v>95</v>
      </c>
      <c r="M1863" s="669">
        <v>90</v>
      </c>
      <c r="N1863" s="668"/>
      <c r="O1863" s="668">
        <v>14</v>
      </c>
      <c r="P1863" s="668" t="str">
        <f>IFERROR(VLOOKUP(F1863, [2]MOE!B:C, 2, FALSE), "No")</f>
        <v>No</v>
      </c>
      <c r="Q1863" s="711" t="s">
        <v>1004</v>
      </c>
      <c r="S1863" s="670" t="s">
        <v>2681</v>
      </c>
      <c r="T1863" s="668" t="s">
        <v>1089</v>
      </c>
    </row>
    <row r="1864" spans="1:20">
      <c r="A1864" s="679">
        <v>2902234</v>
      </c>
      <c r="B1864" s="677"/>
      <c r="C1864" s="672"/>
      <c r="D1864" s="672"/>
      <c r="E1864" s="676" t="s">
        <v>2600</v>
      </c>
      <c r="F1864" s="680" t="s">
        <v>2714</v>
      </c>
      <c r="G1864" s="710">
        <v>290</v>
      </c>
      <c r="H1864" s="682">
        <v>2234</v>
      </c>
      <c r="J1864" s="668" t="str">
        <f t="shared" si="321"/>
        <v>(k) Other Employee Benefits</v>
      </c>
      <c r="L1864" s="668">
        <v>95</v>
      </c>
      <c r="M1864" s="669">
        <v>90</v>
      </c>
      <c r="N1864" s="668"/>
      <c r="O1864" s="668">
        <v>14</v>
      </c>
      <c r="P1864" s="668" t="str">
        <f>IFERROR(VLOOKUP(F1864, [2]MOE!B:C, 2, FALSE), "No")</f>
        <v>No</v>
      </c>
      <c r="Q1864" s="711" t="s">
        <v>1004</v>
      </c>
      <c r="S1864" s="670" t="s">
        <v>2681</v>
      </c>
      <c r="T1864" s="668" t="s">
        <v>1092</v>
      </c>
    </row>
    <row r="1865" spans="1:20">
      <c r="A1865" s="671"/>
      <c r="B1865" s="677"/>
      <c r="C1865" s="672"/>
      <c r="D1865" s="672" t="s">
        <v>850</v>
      </c>
      <c r="E1865" s="676" t="s">
        <v>2715</v>
      </c>
      <c r="F1865" s="675"/>
      <c r="G1865" s="672"/>
      <c r="H1865" s="676"/>
      <c r="Q1865" s="711"/>
      <c r="S1865" s="670"/>
    </row>
    <row r="1866" spans="1:20">
      <c r="A1866" s="671"/>
      <c r="B1866" s="677"/>
      <c r="C1866" s="672"/>
      <c r="D1866" s="672"/>
      <c r="E1866" s="676" t="s">
        <v>2679</v>
      </c>
      <c r="F1866" s="675"/>
      <c r="G1866" s="672"/>
      <c r="H1866" s="676"/>
      <c r="Q1866" s="711"/>
      <c r="S1866" s="670"/>
    </row>
    <row r="1867" spans="1:20">
      <c r="A1867" s="679">
        <v>1112235</v>
      </c>
      <c r="B1867" s="677"/>
      <c r="C1867" s="672"/>
      <c r="D1867" s="672"/>
      <c r="E1867" s="676" t="s">
        <v>2215</v>
      </c>
      <c r="F1867" s="680" t="s">
        <v>2716</v>
      </c>
      <c r="G1867" s="710">
        <v>111</v>
      </c>
      <c r="H1867" s="682">
        <v>2235</v>
      </c>
      <c r="J1867" s="668" t="str">
        <f t="shared" ref="J1867:J1873" si="322">E1867</f>
        <v>(a) Director/Supervisors</v>
      </c>
      <c r="L1867" s="668">
        <v>81</v>
      </c>
      <c r="M1867" s="669">
        <v>76</v>
      </c>
      <c r="N1867" s="668"/>
      <c r="O1867" s="668">
        <v>14</v>
      </c>
      <c r="P1867" s="668" t="str">
        <f>IFERROR(VLOOKUP(F1867, [2]MOE!B:C, 2, FALSE), "No")</f>
        <v>No</v>
      </c>
      <c r="Q1867" s="711" t="s">
        <v>1004</v>
      </c>
      <c r="S1867" s="670" t="s">
        <v>2717</v>
      </c>
      <c r="T1867" s="668" t="s">
        <v>2218</v>
      </c>
    </row>
    <row r="1868" spans="1:20">
      <c r="A1868" s="679">
        <v>1122235</v>
      </c>
      <c r="B1868" s="677"/>
      <c r="C1868" s="672"/>
      <c r="D1868" s="672"/>
      <c r="E1868" s="676" t="s">
        <v>2554</v>
      </c>
      <c r="F1868" s="680" t="s">
        <v>2718</v>
      </c>
      <c r="G1868" s="710">
        <v>112</v>
      </c>
      <c r="H1868" s="682">
        <v>2235</v>
      </c>
      <c r="J1868" s="668" t="str">
        <f t="shared" si="322"/>
        <v>(b) Staff Instructors</v>
      </c>
      <c r="L1868" s="668">
        <v>82</v>
      </c>
      <c r="M1868" s="669">
        <v>77</v>
      </c>
      <c r="N1868" s="668"/>
      <c r="O1868" s="668">
        <v>14</v>
      </c>
      <c r="P1868" s="668" t="str">
        <f>IFERROR(VLOOKUP(F1868, [2]MOE!B:C, 2, FALSE), "No")</f>
        <v>No</v>
      </c>
      <c r="Q1868" s="711" t="s">
        <v>1004</v>
      </c>
      <c r="S1868" s="670" t="s">
        <v>2717</v>
      </c>
      <c r="T1868" s="668" t="s">
        <v>2556</v>
      </c>
    </row>
    <row r="1869" spans="1:20">
      <c r="A1869" s="679">
        <v>1132235</v>
      </c>
      <c r="B1869" s="677"/>
      <c r="C1869" s="672"/>
      <c r="D1869" s="672"/>
      <c r="E1869" s="676" t="s">
        <v>2557</v>
      </c>
      <c r="F1869" s="680" t="s">
        <v>2719</v>
      </c>
      <c r="G1869" s="710">
        <v>113</v>
      </c>
      <c r="H1869" s="682">
        <v>2235</v>
      </c>
      <c r="J1869" s="668" t="str">
        <f t="shared" si="322"/>
        <v>(c) Specialists</v>
      </c>
      <c r="L1869" s="668">
        <v>83</v>
      </c>
      <c r="M1869" s="669">
        <v>78</v>
      </c>
      <c r="N1869" s="668"/>
      <c r="O1869" s="668">
        <v>14</v>
      </c>
      <c r="P1869" s="668" t="str">
        <f>IFERROR(VLOOKUP(F1869, [2]MOE!B:C, 2, FALSE), "No")</f>
        <v>No</v>
      </c>
      <c r="Q1869" s="711" t="s">
        <v>1004</v>
      </c>
      <c r="S1869" s="670" t="s">
        <v>2717</v>
      </c>
      <c r="T1869" s="668" t="s">
        <v>2221</v>
      </c>
    </row>
    <row r="1870" spans="1:20">
      <c r="A1870" s="679">
        <v>1002235</v>
      </c>
      <c r="B1870" s="677"/>
      <c r="C1870" s="672"/>
      <c r="D1870" s="672"/>
      <c r="E1870" s="676" t="s">
        <v>2224</v>
      </c>
      <c r="F1870" s="680" t="s">
        <v>2720</v>
      </c>
      <c r="G1870" s="710">
        <v>100</v>
      </c>
      <c r="H1870" s="682">
        <v>2235</v>
      </c>
      <c r="J1870" s="668" t="str">
        <f t="shared" si="322"/>
        <v>(d) Other Salaries</v>
      </c>
      <c r="L1870" s="668">
        <v>86</v>
      </c>
      <c r="M1870" s="669">
        <v>81</v>
      </c>
      <c r="N1870" s="668"/>
      <c r="O1870" s="668">
        <v>14</v>
      </c>
      <c r="P1870" s="668" t="str">
        <f>IFERROR(VLOOKUP(F1870, [2]MOE!B:C, 2, FALSE), "No")</f>
        <v>No</v>
      </c>
      <c r="Q1870" s="711" t="s">
        <v>1004</v>
      </c>
      <c r="S1870" s="670" t="s">
        <v>2717</v>
      </c>
      <c r="T1870" s="668" t="s">
        <v>1947</v>
      </c>
    </row>
    <row r="1871" spans="1:20">
      <c r="A1871" s="679">
        <v>1402235</v>
      </c>
      <c r="B1871" s="677"/>
      <c r="C1871" s="672"/>
      <c r="D1871" s="672"/>
      <c r="E1871" s="676" t="s">
        <v>2226</v>
      </c>
      <c r="F1871" s="680" t="s">
        <v>2721</v>
      </c>
      <c r="G1871" s="710">
        <v>140</v>
      </c>
      <c r="H1871" s="682">
        <v>2235</v>
      </c>
      <c r="J1871" s="668" t="str">
        <f t="shared" si="322"/>
        <v>(e) Sabbatical Leave</v>
      </c>
      <c r="L1871" s="668">
        <v>86</v>
      </c>
      <c r="M1871" s="669">
        <v>81</v>
      </c>
      <c r="N1871" s="668"/>
      <c r="O1871" s="668">
        <v>14</v>
      </c>
      <c r="P1871" s="668" t="str">
        <f>IFERROR(VLOOKUP(F1871, [2]MOE!B:C, 2, FALSE), "No")</f>
        <v>No</v>
      </c>
      <c r="Q1871" s="711" t="s">
        <v>1004</v>
      </c>
      <c r="S1871" s="670" t="s">
        <v>2717</v>
      </c>
      <c r="T1871" s="668" t="s">
        <v>1019</v>
      </c>
    </row>
    <row r="1872" spans="1:20">
      <c r="A1872" s="679">
        <v>1502235</v>
      </c>
      <c r="B1872" s="677"/>
      <c r="C1872" s="672"/>
      <c r="D1872" s="672"/>
      <c r="E1872" s="676" t="s">
        <v>2561</v>
      </c>
      <c r="F1872" s="680" t="s">
        <v>2722</v>
      </c>
      <c r="G1872" s="710">
        <v>150</v>
      </c>
      <c r="H1872" s="682">
        <v>2235</v>
      </c>
      <c r="J1872" s="668" t="str">
        <f t="shared" si="322"/>
        <v>(f) Stipend Pay</v>
      </c>
      <c r="L1872" s="668">
        <v>86</v>
      </c>
      <c r="M1872" s="669">
        <v>81</v>
      </c>
      <c r="N1872" s="668"/>
      <c r="O1872" s="668">
        <v>14</v>
      </c>
      <c r="P1872" s="668" t="str">
        <f>IFERROR(VLOOKUP(F1872, [2]MOE!B:C, 2, FALSE), "No")</f>
        <v>No</v>
      </c>
      <c r="Q1872" s="711" t="s">
        <v>1004</v>
      </c>
      <c r="S1872" s="670" t="s">
        <v>2717</v>
      </c>
      <c r="T1872" s="668" t="s">
        <v>2563</v>
      </c>
    </row>
    <row r="1873" spans="1:20">
      <c r="A1873" s="679">
        <v>3002235</v>
      </c>
      <c r="B1873" s="677"/>
      <c r="C1873" s="672"/>
      <c r="D1873" s="672"/>
      <c r="E1873" s="676" t="s">
        <v>2564</v>
      </c>
      <c r="F1873" s="680" t="s">
        <v>2723</v>
      </c>
      <c r="G1873" s="710">
        <v>300</v>
      </c>
      <c r="H1873" s="682">
        <v>2235</v>
      </c>
      <c r="J1873" s="668" t="str">
        <f t="shared" si="322"/>
        <v>(2) Purchased Professional and Tech Svcs</v>
      </c>
      <c r="L1873" s="668">
        <v>101</v>
      </c>
      <c r="M1873" s="669">
        <v>96</v>
      </c>
      <c r="N1873" s="668"/>
      <c r="O1873" s="668">
        <v>14</v>
      </c>
      <c r="P1873" s="668" t="str">
        <f>IFERROR(VLOOKUP(F1873, [2]MOE!B:C, 2, FALSE), "No")</f>
        <v>No</v>
      </c>
      <c r="Q1873" s="711"/>
      <c r="S1873" s="670" t="s">
        <v>2717</v>
      </c>
      <c r="T1873" s="668" t="s">
        <v>2566</v>
      </c>
    </row>
    <row r="1874" spans="1:20">
      <c r="A1874" s="671"/>
      <c r="B1874" s="677"/>
      <c r="C1874" s="672"/>
      <c r="D1874" s="672"/>
      <c r="E1874" s="676" t="s">
        <v>2231</v>
      </c>
      <c r="F1874" s="675"/>
      <c r="G1874" s="672"/>
      <c r="H1874" s="676"/>
      <c r="Q1874" s="711"/>
      <c r="S1874" s="670"/>
    </row>
    <row r="1875" spans="1:20">
      <c r="A1875" s="679">
        <v>4302235</v>
      </c>
      <c r="B1875" s="677"/>
      <c r="C1875" s="672"/>
      <c r="D1875" s="672"/>
      <c r="E1875" s="676" t="s">
        <v>2232</v>
      </c>
      <c r="F1875" s="680" t="s">
        <v>2724</v>
      </c>
      <c r="G1875" s="710">
        <v>430</v>
      </c>
      <c r="H1875" s="682">
        <v>2235</v>
      </c>
      <c r="J1875" s="668" t="str">
        <f t="shared" ref="J1875:J1877" si="323">E1875</f>
        <v>(a) Repairs and Maintenance Services</v>
      </c>
      <c r="L1875" s="668">
        <v>107</v>
      </c>
      <c r="M1875" s="669">
        <v>102</v>
      </c>
      <c r="N1875" s="668"/>
      <c r="O1875" s="668">
        <v>14</v>
      </c>
      <c r="P1875" s="668" t="str">
        <f>IFERROR(VLOOKUP(F1875, [2]MOE!B:C, 2, FALSE), "No")</f>
        <v>No</v>
      </c>
      <c r="Q1875" s="711"/>
      <c r="S1875" s="670" t="s">
        <v>2717</v>
      </c>
      <c r="T1875" s="668" t="s">
        <v>1023</v>
      </c>
    </row>
    <row r="1876" spans="1:20">
      <c r="A1876" s="679">
        <v>4422235</v>
      </c>
      <c r="B1876" s="677"/>
      <c r="C1876" s="672"/>
      <c r="D1876" s="672"/>
      <c r="E1876" s="676" t="s">
        <v>2234</v>
      </c>
      <c r="F1876" s="680" t="s">
        <v>2725</v>
      </c>
      <c r="G1876" s="710">
        <v>442</v>
      </c>
      <c r="H1876" s="682">
        <v>2235</v>
      </c>
      <c r="J1876" s="668" t="str">
        <f t="shared" si="323"/>
        <v>(b) Rental of Equipment</v>
      </c>
      <c r="L1876" s="668">
        <v>106</v>
      </c>
      <c r="M1876" s="669">
        <v>101</v>
      </c>
      <c r="N1876" s="668"/>
      <c r="O1876" s="668">
        <v>14</v>
      </c>
      <c r="P1876" s="668" t="str">
        <f>IFERROR(VLOOKUP(F1876, [2]MOE!B:C, 2, FALSE), "No")</f>
        <v>No</v>
      </c>
      <c r="Q1876" s="711"/>
      <c r="S1876" s="670" t="s">
        <v>2717</v>
      </c>
      <c r="T1876" s="668" t="s">
        <v>1025</v>
      </c>
    </row>
    <row r="1877" spans="1:20">
      <c r="A1877" s="679">
        <v>4002235</v>
      </c>
      <c r="B1877" s="677"/>
      <c r="C1877" s="672"/>
      <c r="D1877" s="672"/>
      <c r="E1877" s="676" t="s">
        <v>2236</v>
      </c>
      <c r="F1877" s="680" t="s">
        <v>2726</v>
      </c>
      <c r="G1877" s="710">
        <v>400</v>
      </c>
      <c r="H1877" s="682">
        <v>2235</v>
      </c>
      <c r="J1877" s="668" t="str">
        <f t="shared" si="323"/>
        <v>(c) Other Purchased Property Svcs</v>
      </c>
      <c r="L1877" s="668">
        <v>108</v>
      </c>
      <c r="M1877" s="669">
        <v>103</v>
      </c>
      <c r="N1877" s="668"/>
      <c r="O1877" s="668">
        <v>14</v>
      </c>
      <c r="P1877" s="668" t="str">
        <f>IFERROR(VLOOKUP(F1877, [2]MOE!B:C, 2, FALSE), "No")</f>
        <v>No</v>
      </c>
      <c r="Q1877" s="711"/>
      <c r="S1877" s="670" t="s">
        <v>2717</v>
      </c>
      <c r="T1877" s="668" t="s">
        <v>2238</v>
      </c>
    </row>
    <row r="1878" spans="1:20">
      <c r="A1878" s="671"/>
      <c r="B1878" s="677"/>
      <c r="C1878" s="672"/>
      <c r="D1878" s="672"/>
      <c r="E1878" s="676" t="s">
        <v>1395</v>
      </c>
      <c r="F1878" s="675"/>
      <c r="G1878" s="672"/>
      <c r="H1878" s="676"/>
      <c r="Q1878" s="711"/>
      <c r="S1878" s="670"/>
    </row>
    <row r="1879" spans="1:20">
      <c r="A1879" s="679">
        <v>5822235</v>
      </c>
      <c r="B1879" s="677"/>
      <c r="C1879" s="672"/>
      <c r="D1879" s="672"/>
      <c r="E1879" s="676" t="s">
        <v>2239</v>
      </c>
      <c r="F1879" s="680" t="s">
        <v>2727</v>
      </c>
      <c r="G1879" s="710">
        <v>582</v>
      </c>
      <c r="H1879" s="682">
        <v>2235</v>
      </c>
      <c r="J1879" s="668" t="str">
        <f t="shared" ref="J1879:J1880" si="324">E1879</f>
        <v>(a) Travel Expense Reimbursement</v>
      </c>
      <c r="L1879" s="668">
        <v>118</v>
      </c>
      <c r="M1879" s="669">
        <v>109</v>
      </c>
      <c r="N1879" s="668"/>
      <c r="O1879" s="668">
        <v>14</v>
      </c>
      <c r="P1879" s="668" t="str">
        <f>IFERROR(VLOOKUP(F1879, [2]MOE!B:C, 2, FALSE), "No")</f>
        <v>No</v>
      </c>
      <c r="Q1879" s="711"/>
      <c r="S1879" s="670" t="s">
        <v>2717</v>
      </c>
      <c r="T1879" s="668" t="s">
        <v>1039</v>
      </c>
    </row>
    <row r="1880" spans="1:20">
      <c r="A1880" s="679">
        <v>5002235</v>
      </c>
      <c r="B1880" s="677"/>
      <c r="C1880" s="672"/>
      <c r="D1880" s="672"/>
      <c r="E1880" s="676" t="s">
        <v>2241</v>
      </c>
      <c r="F1880" s="680" t="s">
        <v>2728</v>
      </c>
      <c r="G1880" s="710">
        <v>500</v>
      </c>
      <c r="H1880" s="682">
        <v>2235</v>
      </c>
      <c r="J1880" s="668" t="str">
        <f t="shared" si="324"/>
        <v>(b) Other Purchased Services</v>
      </c>
      <c r="L1880" s="668">
        <v>119</v>
      </c>
      <c r="M1880" s="669">
        <v>110</v>
      </c>
      <c r="N1880" s="668"/>
      <c r="O1880" s="668">
        <v>14</v>
      </c>
      <c r="P1880" s="668" t="str">
        <f>IFERROR(VLOOKUP(F1880, [2]MOE!B:C, 2, FALSE), "No")</f>
        <v>No</v>
      </c>
      <c r="Q1880" s="711"/>
      <c r="S1880" s="670" t="s">
        <v>2717</v>
      </c>
      <c r="T1880" s="668" t="s">
        <v>252</v>
      </c>
    </row>
    <row r="1881" spans="1:20">
      <c r="A1881" s="671"/>
      <c r="B1881" s="677"/>
      <c r="C1881" s="672"/>
      <c r="D1881" s="672"/>
      <c r="E1881" s="676" t="s">
        <v>2243</v>
      </c>
      <c r="F1881" s="675"/>
      <c r="G1881" s="672"/>
      <c r="H1881" s="676"/>
      <c r="Q1881" s="711"/>
      <c r="S1881" s="670"/>
    </row>
    <row r="1882" spans="1:20">
      <c r="A1882" s="679">
        <v>6152235</v>
      </c>
      <c r="B1882" s="677"/>
      <c r="C1882" s="672"/>
      <c r="D1882" s="672"/>
      <c r="E1882" s="676" t="s">
        <v>2244</v>
      </c>
      <c r="F1882" s="680" t="s">
        <v>2729</v>
      </c>
      <c r="G1882" s="710">
        <v>615</v>
      </c>
      <c r="H1882" s="682">
        <v>2235</v>
      </c>
      <c r="J1882" s="668" t="str">
        <f t="shared" ref="J1882:J1884" si="325">E1882</f>
        <v>(a) Technology-Related Supplies</v>
      </c>
      <c r="L1882" s="668">
        <v>126</v>
      </c>
      <c r="M1882" s="669">
        <v>117</v>
      </c>
      <c r="N1882" s="668"/>
      <c r="O1882" s="668">
        <v>14</v>
      </c>
      <c r="P1882" s="668" t="str">
        <f>IFERROR(VLOOKUP(F1882, [2]MOE!B:C, 2, FALSE), "No")</f>
        <v>No</v>
      </c>
      <c r="Q1882" s="711" t="s">
        <v>1045</v>
      </c>
      <c r="S1882" s="670" t="s">
        <v>2717</v>
      </c>
      <c r="T1882" s="668" t="s">
        <v>1043</v>
      </c>
    </row>
    <row r="1883" spans="1:20">
      <c r="A1883" s="679">
        <v>6102235</v>
      </c>
      <c r="B1883" s="677"/>
      <c r="C1883" s="672"/>
      <c r="D1883" s="672"/>
      <c r="E1883" s="676" t="s">
        <v>2246</v>
      </c>
      <c r="F1883" s="680" t="s">
        <v>2730</v>
      </c>
      <c r="G1883" s="710">
        <v>610</v>
      </c>
      <c r="H1883" s="682">
        <v>2235</v>
      </c>
      <c r="J1883" s="668" t="str">
        <f t="shared" si="325"/>
        <v>(b) Materials and Supplies</v>
      </c>
      <c r="L1883" s="668">
        <v>122</v>
      </c>
      <c r="M1883" s="669">
        <v>113</v>
      </c>
      <c r="N1883" s="668"/>
      <c r="O1883" s="668">
        <v>14</v>
      </c>
      <c r="P1883" s="668" t="str">
        <f>IFERROR(VLOOKUP(F1883, [2]MOE!B:C, 2, FALSE), "No")</f>
        <v>No</v>
      </c>
      <c r="Q1883" s="711" t="s">
        <v>1045</v>
      </c>
      <c r="S1883" s="670" t="s">
        <v>2717</v>
      </c>
      <c r="T1883" s="668" t="s">
        <v>39</v>
      </c>
    </row>
    <row r="1884" spans="1:20">
      <c r="A1884" s="679">
        <v>6002235</v>
      </c>
      <c r="B1884" s="677"/>
      <c r="C1884" s="672"/>
      <c r="D1884" s="672"/>
      <c r="E1884" s="676" t="s">
        <v>2248</v>
      </c>
      <c r="F1884" s="680" t="s">
        <v>2731</v>
      </c>
      <c r="G1884" s="710">
        <v>600</v>
      </c>
      <c r="H1884" s="682">
        <v>2235</v>
      </c>
      <c r="J1884" s="668" t="str">
        <f t="shared" si="325"/>
        <v>(c) Other Supplies</v>
      </c>
      <c r="L1884" s="668">
        <v>126</v>
      </c>
      <c r="M1884" s="669">
        <v>117</v>
      </c>
      <c r="N1884" s="668"/>
      <c r="O1884" s="668">
        <v>14</v>
      </c>
      <c r="P1884" s="668" t="str">
        <f>IFERROR(VLOOKUP(F1884, [2]MOE!B:C, 2, FALSE), "No")</f>
        <v>No</v>
      </c>
      <c r="Q1884" s="711"/>
      <c r="S1884" s="670" t="s">
        <v>2717</v>
      </c>
      <c r="T1884" s="668" t="s">
        <v>1050</v>
      </c>
    </row>
    <row r="1885" spans="1:20">
      <c r="A1885" s="671"/>
      <c r="B1885" s="677"/>
      <c r="C1885" s="672"/>
      <c r="D1885" s="672"/>
      <c r="E1885" s="676" t="s">
        <v>2250</v>
      </c>
      <c r="F1885" s="675"/>
      <c r="G1885" s="672"/>
      <c r="H1885" s="676"/>
      <c r="Q1885" s="711"/>
      <c r="S1885" s="670"/>
    </row>
    <row r="1886" spans="1:20">
      <c r="A1886" s="679">
        <v>7342235</v>
      </c>
      <c r="B1886" s="677"/>
      <c r="C1886" s="672"/>
      <c r="D1886" s="672"/>
      <c r="E1886" s="676" t="s">
        <v>2251</v>
      </c>
      <c r="F1886" s="680" t="s">
        <v>2732</v>
      </c>
      <c r="G1886" s="710">
        <v>734</v>
      </c>
      <c r="H1886" s="682">
        <v>2235</v>
      </c>
      <c r="J1886" s="668" t="str">
        <f t="shared" ref="J1886:J1889" si="326">E1886</f>
        <v>(a) Technology-Related Hardware</v>
      </c>
      <c r="L1886" s="668">
        <v>131</v>
      </c>
      <c r="M1886" s="669">
        <v>122</v>
      </c>
      <c r="N1886" s="668"/>
      <c r="O1886" s="668">
        <v>14</v>
      </c>
      <c r="P1886" s="668" t="str">
        <f>IFERROR(VLOOKUP(F1886, [2]MOE!B:C, 2, FALSE), "No")</f>
        <v>No</v>
      </c>
      <c r="Q1886" s="711"/>
      <c r="S1886" s="670" t="s">
        <v>2717</v>
      </c>
      <c r="T1886" s="668" t="s">
        <v>1053</v>
      </c>
    </row>
    <row r="1887" spans="1:20">
      <c r="A1887" s="679">
        <v>7352235</v>
      </c>
      <c r="B1887" s="677"/>
      <c r="C1887" s="672"/>
      <c r="D1887" s="672"/>
      <c r="E1887" s="676" t="s">
        <v>2253</v>
      </c>
      <c r="F1887" s="680" t="s">
        <v>2733</v>
      </c>
      <c r="G1887" s="710">
        <v>735</v>
      </c>
      <c r="H1887" s="682">
        <v>2235</v>
      </c>
      <c r="J1887" s="668" t="str">
        <f t="shared" si="326"/>
        <v>(b) Technology Software</v>
      </c>
      <c r="L1887" s="668">
        <v>131</v>
      </c>
      <c r="M1887" s="669">
        <v>122</v>
      </c>
      <c r="N1887" s="668"/>
      <c r="O1887" s="668">
        <v>14</v>
      </c>
      <c r="P1887" s="668" t="str">
        <f>IFERROR(VLOOKUP(F1887, [2]MOE!B:C, 2, FALSE), "No")</f>
        <v>No</v>
      </c>
      <c r="Q1887" s="711"/>
      <c r="S1887" s="670" t="s">
        <v>2717</v>
      </c>
      <c r="T1887" s="668" t="s">
        <v>1055</v>
      </c>
    </row>
    <row r="1888" spans="1:20">
      <c r="A1888" s="679">
        <v>7302235</v>
      </c>
      <c r="B1888" s="677"/>
      <c r="C1888" s="672"/>
      <c r="D1888" s="672"/>
      <c r="E1888" s="676" t="s">
        <v>2255</v>
      </c>
      <c r="F1888" s="680" t="s">
        <v>2734</v>
      </c>
      <c r="G1888" s="710">
        <v>730</v>
      </c>
      <c r="H1888" s="682">
        <v>2235</v>
      </c>
      <c r="J1888" s="668" t="str">
        <f t="shared" si="326"/>
        <v>(c) All Other Equipment</v>
      </c>
      <c r="L1888" s="668">
        <v>131</v>
      </c>
      <c r="M1888" s="669">
        <v>122</v>
      </c>
      <c r="N1888" s="668"/>
      <c r="O1888" s="668">
        <v>14</v>
      </c>
      <c r="P1888" s="668" t="str">
        <f>IFERROR(VLOOKUP(F1888, [2]MOE!B:C, 2, FALSE), "No")</f>
        <v>No</v>
      </c>
      <c r="Q1888" s="711"/>
      <c r="S1888" s="670" t="s">
        <v>2717</v>
      </c>
      <c r="T1888" s="668" t="s">
        <v>1057</v>
      </c>
    </row>
    <row r="1889" spans="1:20">
      <c r="A1889" s="679">
        <v>7002235</v>
      </c>
      <c r="B1889" s="677"/>
      <c r="C1889" s="672"/>
      <c r="D1889" s="672"/>
      <c r="E1889" s="676" t="s">
        <v>2257</v>
      </c>
      <c r="F1889" s="680" t="s">
        <v>2735</v>
      </c>
      <c r="G1889" s="710">
        <v>700</v>
      </c>
      <c r="H1889" s="682">
        <v>2235</v>
      </c>
      <c r="J1889" s="668" t="str">
        <f t="shared" si="326"/>
        <v>(d) Other Property</v>
      </c>
      <c r="L1889" s="668">
        <v>132</v>
      </c>
      <c r="M1889" s="669">
        <v>123</v>
      </c>
      <c r="N1889" s="668"/>
      <c r="O1889" s="668">
        <v>14</v>
      </c>
      <c r="P1889" s="668" t="str">
        <f>IFERROR(VLOOKUP(F1889, [2]MOE!B:C, 2, FALSE), "No")</f>
        <v>No</v>
      </c>
      <c r="Q1889" s="711"/>
      <c r="S1889" s="670" t="s">
        <v>2717</v>
      </c>
      <c r="T1889" s="668" t="s">
        <v>1059</v>
      </c>
    </row>
    <row r="1890" spans="1:20">
      <c r="A1890" s="671"/>
      <c r="B1890" s="677"/>
      <c r="C1890" s="672"/>
      <c r="D1890" s="672"/>
      <c r="E1890" s="676" t="s">
        <v>2259</v>
      </c>
      <c r="F1890" s="675"/>
      <c r="G1890" s="672"/>
      <c r="H1890" s="676"/>
      <c r="Q1890" s="711"/>
      <c r="S1890" s="670"/>
    </row>
    <row r="1891" spans="1:20">
      <c r="A1891" s="679">
        <v>8952235</v>
      </c>
      <c r="B1891" s="677"/>
      <c r="C1891" s="672"/>
      <c r="D1891" s="672"/>
      <c r="E1891" s="676" t="s">
        <v>2260</v>
      </c>
      <c r="F1891" s="680" t="s">
        <v>2736</v>
      </c>
      <c r="G1891" s="710">
        <v>895</v>
      </c>
      <c r="H1891" s="682">
        <v>2235</v>
      </c>
      <c r="J1891" s="668" t="str">
        <f t="shared" ref="J1891:J1892" si="327">E1891</f>
        <v>(a) Misc. Non-Public Expenditures</v>
      </c>
      <c r="L1891" s="668">
        <v>139</v>
      </c>
      <c r="M1891" s="669">
        <v>129</v>
      </c>
      <c r="N1891" s="668"/>
      <c r="O1891" s="668">
        <v>14</v>
      </c>
      <c r="P1891" s="668" t="str">
        <f>IFERROR(VLOOKUP(F1891, [2]MOE!B:C, 2, FALSE), "No")</f>
        <v>No</v>
      </c>
      <c r="Q1891" s="711"/>
      <c r="S1891" s="670" t="s">
        <v>2717</v>
      </c>
      <c r="T1891" s="668" t="s">
        <v>2262</v>
      </c>
    </row>
    <row r="1892" spans="1:20">
      <c r="A1892" s="679">
        <v>8002235</v>
      </c>
      <c r="B1892" s="677"/>
      <c r="C1892" s="672"/>
      <c r="D1892" s="672"/>
      <c r="E1892" s="676" t="s">
        <v>2263</v>
      </c>
      <c r="F1892" s="680" t="s">
        <v>2737</v>
      </c>
      <c r="G1892" s="710">
        <v>800</v>
      </c>
      <c r="H1892" s="682">
        <v>2235</v>
      </c>
      <c r="J1892" s="668" t="str">
        <f t="shared" si="327"/>
        <v>(b) Other Miscellaneous Expenditures</v>
      </c>
      <c r="L1892" s="668">
        <v>139</v>
      </c>
      <c r="M1892" s="669">
        <v>129</v>
      </c>
      <c r="N1892" s="668"/>
      <c r="O1892" s="668">
        <v>14</v>
      </c>
      <c r="P1892" s="668" t="str">
        <f>IFERROR(VLOOKUP(F1892, [2]MOE!B:C, 2, FALSE), "No")</f>
        <v>No</v>
      </c>
      <c r="Q1892" s="711"/>
      <c r="S1892" s="670" t="s">
        <v>2717</v>
      </c>
      <c r="T1892" s="668" t="s">
        <v>1063</v>
      </c>
    </row>
    <row r="1893" spans="1:20">
      <c r="A1893" s="671"/>
      <c r="B1893" s="677"/>
      <c r="C1893" s="672"/>
      <c r="D1893" s="672"/>
      <c r="E1893" s="676" t="s">
        <v>2265</v>
      </c>
      <c r="F1893" s="675"/>
      <c r="G1893" s="672"/>
      <c r="H1893" s="676"/>
      <c r="Q1893" s="711"/>
      <c r="S1893" s="670"/>
    </row>
    <row r="1894" spans="1:20">
      <c r="A1894" s="679">
        <v>2102235</v>
      </c>
      <c r="B1894" s="677"/>
      <c r="C1894" s="672"/>
      <c r="D1894" s="672"/>
      <c r="E1894" s="676" t="s">
        <v>2266</v>
      </c>
      <c r="F1894" s="680" t="s">
        <v>2738</v>
      </c>
      <c r="G1894" s="710">
        <v>210</v>
      </c>
      <c r="H1894" s="682">
        <v>2235</v>
      </c>
      <c r="J1894" s="668" t="str">
        <f t="shared" ref="J1894:J1896" si="328">E1894</f>
        <v>(a) Group Insurance</v>
      </c>
      <c r="L1894" s="668">
        <v>89</v>
      </c>
      <c r="M1894" s="669">
        <v>84</v>
      </c>
      <c r="N1894" s="668"/>
      <c r="O1894" s="668">
        <v>14</v>
      </c>
      <c r="P1894" s="668" t="str">
        <f>IFERROR(VLOOKUP(F1894, [2]MOE!B:C, 2, FALSE), "No")</f>
        <v>No</v>
      </c>
      <c r="Q1894" s="711" t="s">
        <v>1004</v>
      </c>
      <c r="S1894" s="670" t="s">
        <v>2717</v>
      </c>
      <c r="T1894" s="668" t="s">
        <v>1066</v>
      </c>
    </row>
    <row r="1895" spans="1:20">
      <c r="A1895" s="679">
        <v>2202235</v>
      </c>
      <c r="B1895" s="677"/>
      <c r="C1895" s="672"/>
      <c r="D1895" s="672"/>
      <c r="E1895" s="676" t="s">
        <v>2268</v>
      </c>
      <c r="F1895" s="680" t="s">
        <v>2739</v>
      </c>
      <c r="G1895" s="710">
        <v>220</v>
      </c>
      <c r="H1895" s="682">
        <v>2235</v>
      </c>
      <c r="J1895" s="668" t="str">
        <f t="shared" si="328"/>
        <v>(b) FICA</v>
      </c>
      <c r="L1895" s="668">
        <v>90</v>
      </c>
      <c r="M1895" s="669">
        <v>85</v>
      </c>
      <c r="N1895" s="668"/>
      <c r="O1895" s="668">
        <v>14</v>
      </c>
      <c r="P1895" s="668" t="str">
        <f>IFERROR(VLOOKUP(F1895, [2]MOE!B:C, 2, FALSE), "No")</f>
        <v>No</v>
      </c>
      <c r="Q1895" s="711" t="s">
        <v>1004</v>
      </c>
      <c r="S1895" s="670" t="s">
        <v>2717</v>
      </c>
      <c r="T1895" s="668" t="s">
        <v>1068</v>
      </c>
    </row>
    <row r="1896" spans="1:20">
      <c r="A1896" s="679">
        <v>2252235</v>
      </c>
      <c r="B1896" s="677"/>
      <c r="C1896" s="672"/>
      <c r="D1896" s="672"/>
      <c r="E1896" s="676" t="s">
        <v>2270</v>
      </c>
      <c r="F1896" s="680" t="s">
        <v>2740</v>
      </c>
      <c r="G1896" s="710">
        <v>225</v>
      </c>
      <c r="H1896" s="682">
        <v>2235</v>
      </c>
      <c r="J1896" s="668" t="str">
        <f t="shared" si="328"/>
        <v>(c) Medicare</v>
      </c>
      <c r="L1896" s="668">
        <v>91</v>
      </c>
      <c r="M1896" s="669">
        <v>86</v>
      </c>
      <c r="N1896" s="668"/>
      <c r="O1896" s="668">
        <v>14</v>
      </c>
      <c r="P1896" s="668" t="str">
        <f>IFERROR(VLOOKUP(F1896, [2]MOE!B:C, 2, FALSE), "No")</f>
        <v>No</v>
      </c>
      <c r="Q1896" s="711" t="s">
        <v>1004</v>
      </c>
      <c r="S1896" s="670" t="s">
        <v>2717</v>
      </c>
      <c r="T1896" s="668" t="s">
        <v>23</v>
      </c>
    </row>
    <row r="1897" spans="1:20">
      <c r="A1897" s="671"/>
      <c r="B1897" s="677"/>
      <c r="C1897" s="672"/>
      <c r="D1897" s="672"/>
      <c r="E1897" s="676" t="s">
        <v>2272</v>
      </c>
      <c r="F1897" s="675"/>
      <c r="G1897" s="672"/>
      <c r="H1897" s="676"/>
      <c r="Q1897" s="711"/>
      <c r="S1897" s="670"/>
    </row>
    <row r="1898" spans="1:20">
      <c r="A1898" s="679">
        <v>2312235</v>
      </c>
      <c r="B1898" s="677"/>
      <c r="C1898" s="672"/>
      <c r="D1898" s="672"/>
      <c r="E1898" s="676" t="s">
        <v>2273</v>
      </c>
      <c r="F1898" s="680" t="s">
        <v>2741</v>
      </c>
      <c r="G1898" s="710">
        <v>231</v>
      </c>
      <c r="H1898" s="682">
        <v>2235</v>
      </c>
      <c r="J1898" s="668" t="str">
        <f t="shared" ref="J1898:J1907" si="329">E1898</f>
        <v>1) Louisiana Teachers Retirement</v>
      </c>
      <c r="L1898" s="668">
        <v>92</v>
      </c>
      <c r="M1898" s="669">
        <v>87</v>
      </c>
      <c r="N1898" s="668"/>
      <c r="O1898" s="668">
        <v>14</v>
      </c>
      <c r="P1898" s="668" t="str">
        <f>IFERROR(VLOOKUP(F1898, [2]MOE!B:C, 2, FALSE), "No")</f>
        <v>No</v>
      </c>
      <c r="Q1898" s="711" t="s">
        <v>1004</v>
      </c>
      <c r="S1898" s="670" t="s">
        <v>2717</v>
      </c>
      <c r="T1898" s="668" t="s">
        <v>1074</v>
      </c>
    </row>
    <row r="1899" spans="1:20">
      <c r="A1899" s="679">
        <v>2332235</v>
      </c>
      <c r="B1899" s="677"/>
      <c r="C1899" s="672"/>
      <c r="D1899" s="672"/>
      <c r="E1899" s="676" t="s">
        <v>2275</v>
      </c>
      <c r="F1899" s="680" t="s">
        <v>2742</v>
      </c>
      <c r="G1899" s="710">
        <v>233</v>
      </c>
      <c r="H1899" s="682">
        <v>2235</v>
      </c>
      <c r="J1899" s="668" t="str">
        <f t="shared" si="329"/>
        <v>2) Louisiana School Emp. Retire.</v>
      </c>
      <c r="L1899" s="668">
        <v>92</v>
      </c>
      <c r="M1899" s="669">
        <v>87</v>
      </c>
      <c r="N1899" s="668"/>
      <c r="O1899" s="668">
        <v>14</v>
      </c>
      <c r="P1899" s="668" t="str">
        <f>IFERROR(VLOOKUP(F1899, [2]MOE!B:C, 2, FALSE), "No")</f>
        <v>No</v>
      </c>
      <c r="Q1899" s="711" t="s">
        <v>1004</v>
      </c>
      <c r="S1899" s="670" t="s">
        <v>2717</v>
      </c>
      <c r="T1899" s="668" t="s">
        <v>2277</v>
      </c>
    </row>
    <row r="1900" spans="1:20">
      <c r="A1900" s="679">
        <v>2392235</v>
      </c>
      <c r="B1900" s="677"/>
      <c r="C1900" s="672"/>
      <c r="D1900" s="672"/>
      <c r="E1900" s="676" t="s">
        <v>2278</v>
      </c>
      <c r="F1900" s="680" t="s">
        <v>2743</v>
      </c>
      <c r="G1900" s="710">
        <v>239</v>
      </c>
      <c r="H1900" s="682">
        <v>2235</v>
      </c>
      <c r="J1900" s="668" t="str">
        <f t="shared" si="329"/>
        <v>3) Other Retirement</v>
      </c>
      <c r="L1900" s="668">
        <v>92</v>
      </c>
      <c r="M1900" s="669">
        <v>87</v>
      </c>
      <c r="N1900" s="668"/>
      <c r="O1900" s="668">
        <v>14</v>
      </c>
      <c r="P1900" s="668" t="str">
        <f>IFERROR(VLOOKUP(F1900, [2]MOE!B:C, 2, FALSE), "No")</f>
        <v>No</v>
      </c>
      <c r="Q1900" s="711" t="s">
        <v>1004</v>
      </c>
      <c r="S1900" s="670" t="s">
        <v>2717</v>
      </c>
      <c r="T1900" s="668" t="s">
        <v>1080</v>
      </c>
    </row>
    <row r="1901" spans="1:20">
      <c r="A1901" s="679">
        <v>2402235</v>
      </c>
      <c r="B1901" s="677"/>
      <c r="C1901" s="672"/>
      <c r="D1901" s="672"/>
      <c r="E1901" s="676" t="s">
        <v>2587</v>
      </c>
      <c r="F1901" s="680" t="s">
        <v>2744</v>
      </c>
      <c r="G1901" s="710">
        <v>240</v>
      </c>
      <c r="H1901" s="682">
        <v>2235</v>
      </c>
      <c r="J1901" s="668" t="str">
        <f t="shared" si="329"/>
        <v>(e) Educational Reimbursement</v>
      </c>
      <c r="L1901" s="668">
        <v>95</v>
      </c>
      <c r="M1901" s="669">
        <v>90</v>
      </c>
      <c r="N1901" s="668"/>
      <c r="O1901" s="668">
        <v>14</v>
      </c>
      <c r="P1901" s="668" t="str">
        <f>IFERROR(VLOOKUP(F1901, [2]MOE!B:C, 2, FALSE), "No")</f>
        <v>No</v>
      </c>
      <c r="Q1901" s="711" t="s">
        <v>1004</v>
      </c>
      <c r="S1901" s="670" t="s">
        <v>2717</v>
      </c>
      <c r="T1901" s="668" t="s">
        <v>2589</v>
      </c>
    </row>
    <row r="1902" spans="1:20">
      <c r="A1902" s="679">
        <v>2502235</v>
      </c>
      <c r="B1902" s="677"/>
      <c r="C1902" s="672"/>
      <c r="D1902" s="672"/>
      <c r="E1902" s="676" t="s">
        <v>2590</v>
      </c>
      <c r="F1902" s="680" t="s">
        <v>2745</v>
      </c>
      <c r="G1902" s="710">
        <v>250</v>
      </c>
      <c r="H1902" s="682">
        <v>2235</v>
      </c>
      <c r="J1902" s="668" t="str">
        <f t="shared" si="329"/>
        <v>(f) Unemployment Compensation</v>
      </c>
      <c r="L1902" s="668">
        <v>93</v>
      </c>
      <c r="M1902" s="669">
        <v>88</v>
      </c>
      <c r="N1902" s="668"/>
      <c r="O1902" s="668">
        <v>14</v>
      </c>
      <c r="P1902" s="668" t="str">
        <f>IFERROR(VLOOKUP(F1902, [2]MOE!B:C, 2, FALSE), "No")</f>
        <v>No</v>
      </c>
      <c r="Q1902" s="711" t="s">
        <v>1004</v>
      </c>
      <c r="S1902" s="670" t="s">
        <v>2717</v>
      </c>
      <c r="T1902" s="668" t="s">
        <v>1081</v>
      </c>
    </row>
    <row r="1903" spans="1:20">
      <c r="A1903" s="679">
        <v>2602235</v>
      </c>
      <c r="B1903" s="677"/>
      <c r="C1903" s="672"/>
      <c r="D1903" s="672"/>
      <c r="E1903" s="676" t="s">
        <v>2592</v>
      </c>
      <c r="F1903" s="680" t="s">
        <v>2746</v>
      </c>
      <c r="G1903" s="710">
        <v>260</v>
      </c>
      <c r="H1903" s="682">
        <v>2235</v>
      </c>
      <c r="J1903" s="668" t="str">
        <f t="shared" si="329"/>
        <v>(g) Workmen's Compensation</v>
      </c>
      <c r="L1903" s="668">
        <v>95</v>
      </c>
      <c r="M1903" s="669">
        <v>90</v>
      </c>
      <c r="N1903" s="668"/>
      <c r="O1903" s="668">
        <v>14</v>
      </c>
      <c r="P1903" s="668" t="str">
        <f>IFERROR(VLOOKUP(F1903, [2]MOE!B:C, 2, FALSE), "No")</f>
        <v>No</v>
      </c>
      <c r="Q1903" s="711" t="s">
        <v>1004</v>
      </c>
      <c r="S1903" s="670" t="s">
        <v>2717</v>
      </c>
      <c r="T1903" s="668" t="s">
        <v>1083</v>
      </c>
    </row>
    <row r="1904" spans="1:20">
      <c r="A1904" s="679">
        <v>2702235</v>
      </c>
      <c r="B1904" s="677"/>
      <c r="C1904" s="672"/>
      <c r="D1904" s="672"/>
      <c r="E1904" s="676" t="s">
        <v>2594</v>
      </c>
      <c r="F1904" s="680" t="s">
        <v>2747</v>
      </c>
      <c r="G1904" s="710">
        <v>270</v>
      </c>
      <c r="H1904" s="682">
        <v>2235</v>
      </c>
      <c r="J1904" s="668" t="str">
        <f t="shared" si="329"/>
        <v>(h) Health Benefits (retirees)</v>
      </c>
      <c r="L1904" s="668">
        <v>94</v>
      </c>
      <c r="M1904" s="669">
        <v>89</v>
      </c>
      <c r="N1904" s="668"/>
      <c r="O1904" s="668">
        <v>14</v>
      </c>
      <c r="P1904" s="668" t="str">
        <f>IFERROR(VLOOKUP(F1904, [2]MOE!B:C, 2, FALSE), "No")</f>
        <v>No</v>
      </c>
      <c r="Q1904" s="711" t="s">
        <v>1004</v>
      </c>
      <c r="S1904" s="670" t="s">
        <v>2717</v>
      </c>
      <c r="T1904" s="668" t="s">
        <v>1085</v>
      </c>
    </row>
    <row r="1905" spans="1:20">
      <c r="A1905" s="679">
        <v>2812235</v>
      </c>
      <c r="B1905" s="677"/>
      <c r="C1905" s="672"/>
      <c r="D1905" s="672"/>
      <c r="E1905" s="676" t="s">
        <v>2596</v>
      </c>
      <c r="F1905" s="680" t="s">
        <v>2748</v>
      </c>
      <c r="G1905" s="710">
        <v>281</v>
      </c>
      <c r="H1905" s="682">
        <v>2235</v>
      </c>
      <c r="J1905" s="668" t="str">
        <f t="shared" si="329"/>
        <v>(i) Sick Leave Severance Pay</v>
      </c>
      <c r="L1905" s="668">
        <v>95</v>
      </c>
      <c r="M1905" s="669">
        <v>90</v>
      </c>
      <c r="N1905" s="668"/>
      <c r="O1905" s="668">
        <v>14</v>
      </c>
      <c r="P1905" s="668" t="str">
        <f>IFERROR(VLOOKUP(F1905, [2]MOE!B:C, 2, FALSE), "No")</f>
        <v>No</v>
      </c>
      <c r="Q1905" s="711" t="s">
        <v>1004</v>
      </c>
      <c r="S1905" s="670" t="s">
        <v>2717</v>
      </c>
      <c r="T1905" s="668" t="s">
        <v>1087</v>
      </c>
    </row>
    <row r="1906" spans="1:20">
      <c r="A1906" s="679">
        <v>2822235</v>
      </c>
      <c r="B1906" s="677"/>
      <c r="C1906" s="672"/>
      <c r="D1906" s="672"/>
      <c r="E1906" s="676" t="s">
        <v>2598</v>
      </c>
      <c r="F1906" s="680" t="s">
        <v>2749</v>
      </c>
      <c r="G1906" s="710">
        <v>282</v>
      </c>
      <c r="H1906" s="682">
        <v>2235</v>
      </c>
      <c r="J1906" s="668" t="str">
        <f t="shared" si="329"/>
        <v>(j) Annual Leave Severance Pay</v>
      </c>
      <c r="L1906" s="668">
        <v>95</v>
      </c>
      <c r="M1906" s="669">
        <v>90</v>
      </c>
      <c r="N1906" s="668"/>
      <c r="O1906" s="668">
        <v>14</v>
      </c>
      <c r="P1906" s="668" t="str">
        <f>IFERROR(VLOOKUP(F1906, [2]MOE!B:C, 2, FALSE), "No")</f>
        <v>No</v>
      </c>
      <c r="Q1906" s="711" t="s">
        <v>1004</v>
      </c>
      <c r="S1906" s="670" t="s">
        <v>2717</v>
      </c>
      <c r="T1906" s="668" t="s">
        <v>1089</v>
      </c>
    </row>
    <row r="1907" spans="1:20">
      <c r="A1907" s="679">
        <v>2902235</v>
      </c>
      <c r="B1907" s="677"/>
      <c r="C1907" s="672"/>
      <c r="D1907" s="672"/>
      <c r="E1907" s="676" t="s">
        <v>2600</v>
      </c>
      <c r="F1907" s="680" t="s">
        <v>2750</v>
      </c>
      <c r="G1907" s="710">
        <v>290</v>
      </c>
      <c r="H1907" s="682">
        <v>2235</v>
      </c>
      <c r="J1907" s="668" t="str">
        <f t="shared" si="329"/>
        <v>(k) Other Employee Benefits</v>
      </c>
      <c r="L1907" s="668">
        <v>95</v>
      </c>
      <c r="M1907" s="669">
        <v>90</v>
      </c>
      <c r="N1907" s="668"/>
      <c r="O1907" s="668">
        <v>14</v>
      </c>
      <c r="P1907" s="668" t="str">
        <f>IFERROR(VLOOKUP(F1907, [2]MOE!B:C, 2, FALSE), "No")</f>
        <v>No</v>
      </c>
      <c r="Q1907" s="711" t="s">
        <v>1004</v>
      </c>
      <c r="S1907" s="670" t="s">
        <v>2717</v>
      </c>
      <c r="T1907" s="668" t="s">
        <v>1092</v>
      </c>
    </row>
    <row r="1908" spans="1:20">
      <c r="A1908" s="671"/>
      <c r="B1908" s="677"/>
      <c r="C1908" s="672"/>
      <c r="D1908" s="672" t="s">
        <v>853</v>
      </c>
      <c r="E1908" s="676" t="s">
        <v>2751</v>
      </c>
      <c r="F1908" s="675"/>
      <c r="G1908" s="672"/>
      <c r="H1908" s="676"/>
      <c r="Q1908" s="711"/>
      <c r="S1908" s="670"/>
    </row>
    <row r="1909" spans="1:20">
      <c r="A1909" s="671"/>
      <c r="B1909" s="677"/>
      <c r="C1909" s="672"/>
      <c r="D1909" s="672"/>
      <c r="E1909" s="676" t="s">
        <v>2679</v>
      </c>
      <c r="F1909" s="675"/>
      <c r="G1909" s="672"/>
      <c r="H1909" s="676"/>
      <c r="Q1909" s="711"/>
      <c r="S1909" s="670"/>
    </row>
    <row r="1910" spans="1:20">
      <c r="A1910" s="679">
        <v>1112236</v>
      </c>
      <c r="B1910" s="677"/>
      <c r="C1910" s="672"/>
      <c r="D1910" s="672"/>
      <c r="E1910" s="676" t="s">
        <v>2215</v>
      </c>
      <c r="F1910" s="680" t="s">
        <v>2752</v>
      </c>
      <c r="G1910" s="710">
        <v>111</v>
      </c>
      <c r="H1910" s="682">
        <v>2236</v>
      </c>
      <c r="J1910" s="668" t="str">
        <f t="shared" ref="J1910:J1916" si="330">E1910</f>
        <v>(a) Director/Supervisors</v>
      </c>
      <c r="L1910" s="668">
        <v>81</v>
      </c>
      <c r="M1910" s="669">
        <v>76</v>
      </c>
      <c r="N1910" s="668"/>
      <c r="O1910" s="668">
        <v>14</v>
      </c>
      <c r="P1910" s="668" t="str">
        <f>IFERROR(VLOOKUP(F1910, [2]MOE!B:C, 2, FALSE), "No")</f>
        <v>No</v>
      </c>
      <c r="Q1910" s="711" t="s">
        <v>1004</v>
      </c>
      <c r="S1910" s="670" t="s">
        <v>2753</v>
      </c>
      <c r="T1910" s="668" t="s">
        <v>2218</v>
      </c>
    </row>
    <row r="1911" spans="1:20">
      <c r="A1911" s="679">
        <v>1122236</v>
      </c>
      <c r="B1911" s="677"/>
      <c r="C1911" s="672"/>
      <c r="D1911" s="672"/>
      <c r="E1911" s="676" t="s">
        <v>2554</v>
      </c>
      <c r="F1911" s="680" t="s">
        <v>2754</v>
      </c>
      <c r="G1911" s="710">
        <v>112</v>
      </c>
      <c r="H1911" s="682">
        <v>2236</v>
      </c>
      <c r="J1911" s="668" t="str">
        <f t="shared" si="330"/>
        <v>(b) Staff Instructors</v>
      </c>
      <c r="L1911" s="668">
        <v>82</v>
      </c>
      <c r="M1911" s="669">
        <v>77</v>
      </c>
      <c r="N1911" s="668"/>
      <c r="O1911" s="668">
        <v>14</v>
      </c>
      <c r="P1911" s="668" t="str">
        <f>IFERROR(VLOOKUP(F1911, [2]MOE!B:C, 2, FALSE), "No")</f>
        <v>No</v>
      </c>
      <c r="Q1911" s="711" t="s">
        <v>1004</v>
      </c>
      <c r="S1911" s="670" t="s">
        <v>2753</v>
      </c>
      <c r="T1911" s="668" t="s">
        <v>2556</v>
      </c>
    </row>
    <row r="1912" spans="1:20">
      <c r="A1912" s="679">
        <v>1132236</v>
      </c>
      <c r="B1912" s="677"/>
      <c r="C1912" s="672"/>
      <c r="D1912" s="672"/>
      <c r="E1912" s="676" t="s">
        <v>2557</v>
      </c>
      <c r="F1912" s="680" t="s">
        <v>2755</v>
      </c>
      <c r="G1912" s="710">
        <v>113</v>
      </c>
      <c r="H1912" s="682">
        <v>2236</v>
      </c>
      <c r="J1912" s="668" t="str">
        <f t="shared" si="330"/>
        <v>(c) Specialists</v>
      </c>
      <c r="L1912" s="668">
        <v>83</v>
      </c>
      <c r="M1912" s="669">
        <v>78</v>
      </c>
      <c r="N1912" s="668"/>
      <c r="O1912" s="668">
        <v>14</v>
      </c>
      <c r="P1912" s="668" t="str">
        <f>IFERROR(VLOOKUP(F1912, [2]MOE!B:C, 2, FALSE), "No")</f>
        <v>No</v>
      </c>
      <c r="Q1912" s="711" t="s">
        <v>1004</v>
      </c>
      <c r="S1912" s="670" t="s">
        <v>2753</v>
      </c>
      <c r="T1912" s="668" t="s">
        <v>2221</v>
      </c>
    </row>
    <row r="1913" spans="1:20">
      <c r="A1913" s="679">
        <v>1002236</v>
      </c>
      <c r="B1913" s="677"/>
      <c r="C1913" s="672"/>
      <c r="D1913" s="672"/>
      <c r="E1913" s="676" t="s">
        <v>2224</v>
      </c>
      <c r="F1913" s="680" t="s">
        <v>2756</v>
      </c>
      <c r="G1913" s="710">
        <v>100</v>
      </c>
      <c r="H1913" s="682">
        <v>2236</v>
      </c>
      <c r="J1913" s="668" t="str">
        <f t="shared" si="330"/>
        <v>(d) Other Salaries</v>
      </c>
      <c r="L1913" s="668">
        <v>86</v>
      </c>
      <c r="M1913" s="669">
        <v>81</v>
      </c>
      <c r="N1913" s="668"/>
      <c r="O1913" s="668">
        <v>14</v>
      </c>
      <c r="P1913" s="668" t="str">
        <f>IFERROR(VLOOKUP(F1913, [2]MOE!B:C, 2, FALSE), "No")</f>
        <v>No</v>
      </c>
      <c r="Q1913" s="711" t="s">
        <v>1004</v>
      </c>
      <c r="S1913" s="670" t="s">
        <v>2753</v>
      </c>
      <c r="T1913" s="668" t="s">
        <v>1947</v>
      </c>
    </row>
    <row r="1914" spans="1:20">
      <c r="A1914" s="679">
        <v>1402236</v>
      </c>
      <c r="B1914" s="677"/>
      <c r="C1914" s="672"/>
      <c r="D1914" s="672"/>
      <c r="E1914" s="676" t="s">
        <v>2226</v>
      </c>
      <c r="F1914" s="680" t="s">
        <v>2757</v>
      </c>
      <c r="G1914" s="710">
        <v>140</v>
      </c>
      <c r="H1914" s="682">
        <v>2236</v>
      </c>
      <c r="J1914" s="668" t="str">
        <f t="shared" si="330"/>
        <v>(e) Sabbatical Leave</v>
      </c>
      <c r="L1914" s="668">
        <v>86</v>
      </c>
      <c r="M1914" s="669">
        <v>81</v>
      </c>
      <c r="N1914" s="668"/>
      <c r="O1914" s="668">
        <v>14</v>
      </c>
      <c r="P1914" s="668" t="str">
        <f>IFERROR(VLOOKUP(F1914, [2]MOE!B:C, 2, FALSE), "No")</f>
        <v>No</v>
      </c>
      <c r="Q1914" s="711" t="s">
        <v>1004</v>
      </c>
      <c r="S1914" s="670" t="s">
        <v>2753</v>
      </c>
      <c r="T1914" s="668" t="s">
        <v>1019</v>
      </c>
    </row>
    <row r="1915" spans="1:20">
      <c r="A1915" s="679">
        <v>1502236</v>
      </c>
      <c r="B1915" s="677"/>
      <c r="C1915" s="672"/>
      <c r="D1915" s="672"/>
      <c r="E1915" s="676" t="s">
        <v>2561</v>
      </c>
      <c r="F1915" s="680" t="s">
        <v>2758</v>
      </c>
      <c r="G1915" s="710">
        <v>150</v>
      </c>
      <c r="H1915" s="682">
        <v>2236</v>
      </c>
      <c r="J1915" s="668" t="str">
        <f t="shared" si="330"/>
        <v>(f) Stipend Pay</v>
      </c>
      <c r="L1915" s="668">
        <v>86</v>
      </c>
      <c r="M1915" s="669">
        <v>81</v>
      </c>
      <c r="N1915" s="668"/>
      <c r="O1915" s="668">
        <v>14</v>
      </c>
      <c r="P1915" s="668" t="str">
        <f>IFERROR(VLOOKUP(F1915, [2]MOE!B:C, 2, FALSE), "No")</f>
        <v>No</v>
      </c>
      <c r="Q1915" s="711" t="s">
        <v>1004</v>
      </c>
      <c r="S1915" s="670" t="s">
        <v>2753</v>
      </c>
      <c r="T1915" s="668" t="s">
        <v>2563</v>
      </c>
    </row>
    <row r="1916" spans="1:20">
      <c r="A1916" s="679">
        <v>3002236</v>
      </c>
      <c r="B1916" s="677"/>
      <c r="C1916" s="672"/>
      <c r="D1916" s="672"/>
      <c r="E1916" s="676" t="s">
        <v>2564</v>
      </c>
      <c r="F1916" s="680" t="s">
        <v>2759</v>
      </c>
      <c r="G1916" s="710">
        <v>300</v>
      </c>
      <c r="H1916" s="682">
        <v>2236</v>
      </c>
      <c r="J1916" s="668" t="str">
        <f t="shared" si="330"/>
        <v>(2) Purchased Professional and Tech Svcs</v>
      </c>
      <c r="L1916" s="668">
        <v>101</v>
      </c>
      <c r="M1916" s="669">
        <v>96</v>
      </c>
      <c r="N1916" s="668"/>
      <c r="O1916" s="668">
        <v>14</v>
      </c>
      <c r="P1916" s="668" t="str">
        <f>IFERROR(VLOOKUP(F1916, [2]MOE!B:C, 2, FALSE), "No")</f>
        <v>No</v>
      </c>
      <c r="Q1916" s="711"/>
      <c r="S1916" s="670" t="s">
        <v>2753</v>
      </c>
      <c r="T1916" s="668" t="s">
        <v>2566</v>
      </c>
    </row>
    <row r="1917" spans="1:20">
      <c r="A1917" s="671"/>
      <c r="B1917" s="677"/>
      <c r="C1917" s="672"/>
      <c r="D1917" s="672"/>
      <c r="E1917" s="676" t="s">
        <v>2231</v>
      </c>
      <c r="F1917" s="675"/>
      <c r="G1917" s="672"/>
      <c r="H1917" s="676"/>
      <c r="Q1917" s="711"/>
      <c r="S1917" s="670"/>
    </row>
    <row r="1918" spans="1:20">
      <c r="A1918" s="679">
        <v>4302236</v>
      </c>
      <c r="B1918" s="677"/>
      <c r="C1918" s="672"/>
      <c r="D1918" s="672"/>
      <c r="E1918" s="676" t="s">
        <v>2232</v>
      </c>
      <c r="F1918" s="680" t="s">
        <v>2760</v>
      </c>
      <c r="G1918" s="710">
        <v>430</v>
      </c>
      <c r="H1918" s="682">
        <v>2236</v>
      </c>
      <c r="J1918" s="668" t="str">
        <f t="shared" ref="J1918:J1920" si="331">E1918</f>
        <v>(a) Repairs and Maintenance Services</v>
      </c>
      <c r="L1918" s="668">
        <v>107</v>
      </c>
      <c r="M1918" s="669">
        <v>102</v>
      </c>
      <c r="N1918" s="668"/>
      <c r="O1918" s="668">
        <v>14</v>
      </c>
      <c r="P1918" s="668" t="str">
        <f>IFERROR(VLOOKUP(F1918, [2]MOE!B:C, 2, FALSE), "No")</f>
        <v>No</v>
      </c>
      <c r="Q1918" s="711"/>
      <c r="S1918" s="670" t="s">
        <v>2753</v>
      </c>
      <c r="T1918" s="668" t="s">
        <v>1023</v>
      </c>
    </row>
    <row r="1919" spans="1:20">
      <c r="A1919" s="679">
        <v>4422236</v>
      </c>
      <c r="B1919" s="677"/>
      <c r="C1919" s="672"/>
      <c r="D1919" s="672"/>
      <c r="E1919" s="676" t="s">
        <v>2234</v>
      </c>
      <c r="F1919" s="680" t="s">
        <v>2761</v>
      </c>
      <c r="G1919" s="710">
        <v>442</v>
      </c>
      <c r="H1919" s="682">
        <v>2236</v>
      </c>
      <c r="J1919" s="668" t="str">
        <f t="shared" si="331"/>
        <v>(b) Rental of Equipment</v>
      </c>
      <c r="L1919" s="668">
        <v>106</v>
      </c>
      <c r="M1919" s="669">
        <v>101</v>
      </c>
      <c r="N1919" s="668"/>
      <c r="O1919" s="668">
        <v>14</v>
      </c>
      <c r="P1919" s="668" t="str">
        <f>IFERROR(VLOOKUP(F1919, [2]MOE!B:C, 2, FALSE), "No")</f>
        <v>No</v>
      </c>
      <c r="Q1919" s="711"/>
      <c r="S1919" s="670" t="s">
        <v>2753</v>
      </c>
      <c r="T1919" s="668" t="s">
        <v>1025</v>
      </c>
    </row>
    <row r="1920" spans="1:20">
      <c r="A1920" s="679">
        <v>4002236</v>
      </c>
      <c r="B1920" s="677"/>
      <c r="C1920" s="672"/>
      <c r="D1920" s="672"/>
      <c r="E1920" s="676" t="s">
        <v>2236</v>
      </c>
      <c r="F1920" s="680" t="s">
        <v>2762</v>
      </c>
      <c r="G1920" s="710">
        <v>400</v>
      </c>
      <c r="H1920" s="682">
        <v>2236</v>
      </c>
      <c r="J1920" s="668" t="str">
        <f t="shared" si="331"/>
        <v>(c) Other Purchased Property Svcs</v>
      </c>
      <c r="L1920" s="668">
        <v>108</v>
      </c>
      <c r="M1920" s="669">
        <v>103</v>
      </c>
      <c r="N1920" s="668"/>
      <c r="O1920" s="668">
        <v>14</v>
      </c>
      <c r="P1920" s="668" t="str">
        <f>IFERROR(VLOOKUP(F1920, [2]MOE!B:C, 2, FALSE), "No")</f>
        <v>No</v>
      </c>
      <c r="Q1920" s="711"/>
      <c r="S1920" s="670" t="s">
        <v>2753</v>
      </c>
      <c r="T1920" s="668" t="s">
        <v>2238</v>
      </c>
    </row>
    <row r="1921" spans="1:20">
      <c r="A1921" s="671"/>
      <c r="B1921" s="677"/>
      <c r="C1921" s="672"/>
      <c r="D1921" s="672"/>
      <c r="E1921" s="676" t="s">
        <v>1395</v>
      </c>
      <c r="F1921" s="675"/>
      <c r="G1921" s="672"/>
      <c r="H1921" s="676"/>
      <c r="Q1921" s="711"/>
      <c r="S1921" s="670"/>
    </row>
    <row r="1922" spans="1:20">
      <c r="A1922" s="679">
        <v>5822236</v>
      </c>
      <c r="B1922" s="677"/>
      <c r="C1922" s="672"/>
      <c r="D1922" s="672"/>
      <c r="E1922" s="676" t="s">
        <v>2239</v>
      </c>
      <c r="F1922" s="680" t="s">
        <v>2763</v>
      </c>
      <c r="G1922" s="710">
        <v>582</v>
      </c>
      <c r="H1922" s="682">
        <v>2236</v>
      </c>
      <c r="J1922" s="668" t="str">
        <f t="shared" ref="J1922:J1923" si="332">E1922</f>
        <v>(a) Travel Expense Reimbursement</v>
      </c>
      <c r="L1922" s="668">
        <v>118</v>
      </c>
      <c r="M1922" s="669">
        <v>109</v>
      </c>
      <c r="N1922" s="668"/>
      <c r="O1922" s="668">
        <v>14</v>
      </c>
      <c r="P1922" s="668" t="str">
        <f>IFERROR(VLOOKUP(F1922, [2]MOE!B:C, 2, FALSE), "No")</f>
        <v>No</v>
      </c>
      <c r="Q1922" s="711"/>
      <c r="S1922" s="670" t="s">
        <v>2753</v>
      </c>
      <c r="T1922" s="668" t="s">
        <v>1039</v>
      </c>
    </row>
    <row r="1923" spans="1:20">
      <c r="A1923" s="679">
        <v>5002236</v>
      </c>
      <c r="B1923" s="677"/>
      <c r="C1923" s="672"/>
      <c r="D1923" s="672"/>
      <c r="E1923" s="676" t="s">
        <v>2241</v>
      </c>
      <c r="F1923" s="680" t="s">
        <v>2764</v>
      </c>
      <c r="G1923" s="710">
        <v>500</v>
      </c>
      <c r="H1923" s="682">
        <v>2236</v>
      </c>
      <c r="J1923" s="668" t="str">
        <f t="shared" si="332"/>
        <v>(b) Other Purchased Services</v>
      </c>
      <c r="L1923" s="668">
        <v>119</v>
      </c>
      <c r="M1923" s="669">
        <v>110</v>
      </c>
      <c r="N1923" s="668"/>
      <c r="O1923" s="668">
        <v>14</v>
      </c>
      <c r="P1923" s="668" t="str">
        <f>IFERROR(VLOOKUP(F1923, [2]MOE!B:C, 2, FALSE), "No")</f>
        <v>No</v>
      </c>
      <c r="Q1923" s="711"/>
      <c r="S1923" s="670" t="s">
        <v>2753</v>
      </c>
      <c r="T1923" s="668" t="s">
        <v>252</v>
      </c>
    </row>
    <row r="1924" spans="1:20">
      <c r="A1924" s="671"/>
      <c r="B1924" s="677"/>
      <c r="C1924" s="672"/>
      <c r="D1924" s="672"/>
      <c r="E1924" s="676" t="s">
        <v>2243</v>
      </c>
      <c r="F1924" s="675"/>
      <c r="G1924" s="672"/>
      <c r="H1924" s="676"/>
      <c r="Q1924" s="711"/>
      <c r="S1924" s="670"/>
    </row>
    <row r="1925" spans="1:20">
      <c r="A1925" s="679">
        <v>6152236</v>
      </c>
      <c r="B1925" s="677"/>
      <c r="C1925" s="672"/>
      <c r="D1925" s="672"/>
      <c r="E1925" s="676" t="s">
        <v>2244</v>
      </c>
      <c r="F1925" s="680" t="s">
        <v>2765</v>
      </c>
      <c r="G1925" s="710">
        <v>615</v>
      </c>
      <c r="H1925" s="682">
        <v>2236</v>
      </c>
      <c r="J1925" s="668" t="str">
        <f t="shared" ref="J1925:J1927" si="333">E1925</f>
        <v>(a) Technology-Related Supplies</v>
      </c>
      <c r="L1925" s="668">
        <v>126</v>
      </c>
      <c r="M1925" s="669">
        <v>117</v>
      </c>
      <c r="N1925" s="668"/>
      <c r="O1925" s="668">
        <v>14</v>
      </c>
      <c r="P1925" s="668" t="str">
        <f>IFERROR(VLOOKUP(F1925, [2]MOE!B:C, 2, FALSE), "No")</f>
        <v>No</v>
      </c>
      <c r="Q1925" s="711" t="s">
        <v>1045</v>
      </c>
      <c r="S1925" s="670" t="s">
        <v>2753</v>
      </c>
      <c r="T1925" s="668" t="s">
        <v>1043</v>
      </c>
    </row>
    <row r="1926" spans="1:20">
      <c r="A1926" s="679">
        <v>6102236</v>
      </c>
      <c r="B1926" s="677"/>
      <c r="C1926" s="672"/>
      <c r="D1926" s="672"/>
      <c r="E1926" s="676" t="s">
        <v>2246</v>
      </c>
      <c r="F1926" s="680" t="s">
        <v>2766</v>
      </c>
      <c r="G1926" s="710">
        <v>610</v>
      </c>
      <c r="H1926" s="682">
        <v>2236</v>
      </c>
      <c r="J1926" s="668" t="str">
        <f t="shared" si="333"/>
        <v>(b) Materials and Supplies</v>
      </c>
      <c r="L1926" s="668">
        <v>122</v>
      </c>
      <c r="M1926" s="669">
        <v>113</v>
      </c>
      <c r="N1926" s="668"/>
      <c r="O1926" s="668">
        <v>14</v>
      </c>
      <c r="P1926" s="668" t="str">
        <f>IFERROR(VLOOKUP(F1926, [2]MOE!B:C, 2, FALSE), "No")</f>
        <v>No</v>
      </c>
      <c r="Q1926" s="711" t="s">
        <v>1045</v>
      </c>
      <c r="S1926" s="670" t="s">
        <v>2753</v>
      </c>
      <c r="T1926" s="668" t="s">
        <v>39</v>
      </c>
    </row>
    <row r="1927" spans="1:20">
      <c r="A1927" s="679">
        <v>6002236</v>
      </c>
      <c r="B1927" s="677"/>
      <c r="C1927" s="672"/>
      <c r="D1927" s="672"/>
      <c r="E1927" s="676" t="s">
        <v>2248</v>
      </c>
      <c r="F1927" s="680" t="s">
        <v>2767</v>
      </c>
      <c r="G1927" s="710">
        <v>600</v>
      </c>
      <c r="H1927" s="682">
        <v>2236</v>
      </c>
      <c r="J1927" s="668" t="str">
        <f t="shared" si="333"/>
        <v>(c) Other Supplies</v>
      </c>
      <c r="L1927" s="668">
        <v>126</v>
      </c>
      <c r="M1927" s="669">
        <v>117</v>
      </c>
      <c r="N1927" s="668"/>
      <c r="O1927" s="668">
        <v>14</v>
      </c>
      <c r="P1927" s="668" t="str">
        <f>IFERROR(VLOOKUP(F1927, [2]MOE!B:C, 2, FALSE), "No")</f>
        <v>No</v>
      </c>
      <c r="Q1927" s="711"/>
      <c r="S1927" s="670" t="s">
        <v>2753</v>
      </c>
      <c r="T1927" s="668" t="s">
        <v>1050</v>
      </c>
    </row>
    <row r="1928" spans="1:20">
      <c r="A1928" s="671"/>
      <c r="B1928" s="677"/>
      <c r="C1928" s="672"/>
      <c r="D1928" s="672"/>
      <c r="E1928" s="676" t="s">
        <v>2250</v>
      </c>
      <c r="F1928" s="675"/>
      <c r="G1928" s="672"/>
      <c r="H1928" s="676"/>
      <c r="Q1928" s="711"/>
      <c r="S1928" s="670"/>
    </row>
    <row r="1929" spans="1:20">
      <c r="A1929" s="679">
        <v>7342236</v>
      </c>
      <c r="B1929" s="677"/>
      <c r="C1929" s="672"/>
      <c r="D1929" s="672"/>
      <c r="E1929" s="676" t="s">
        <v>2251</v>
      </c>
      <c r="F1929" s="680" t="s">
        <v>2768</v>
      </c>
      <c r="G1929" s="710">
        <v>734</v>
      </c>
      <c r="H1929" s="682">
        <v>2236</v>
      </c>
      <c r="J1929" s="668" t="str">
        <f t="shared" ref="J1929:J1932" si="334">E1929</f>
        <v>(a) Technology-Related Hardware</v>
      </c>
      <c r="L1929" s="668">
        <v>131</v>
      </c>
      <c r="M1929" s="669">
        <v>122</v>
      </c>
      <c r="N1929" s="668"/>
      <c r="O1929" s="668">
        <v>14</v>
      </c>
      <c r="P1929" s="668" t="str">
        <f>IFERROR(VLOOKUP(F1929, [2]MOE!B:C, 2, FALSE), "No")</f>
        <v>No</v>
      </c>
      <c r="Q1929" s="711"/>
      <c r="S1929" s="670" t="s">
        <v>2753</v>
      </c>
      <c r="T1929" s="668" t="s">
        <v>1053</v>
      </c>
    </row>
    <row r="1930" spans="1:20">
      <c r="A1930" s="679">
        <v>7352236</v>
      </c>
      <c r="B1930" s="677"/>
      <c r="C1930" s="672"/>
      <c r="D1930" s="672"/>
      <c r="E1930" s="676" t="s">
        <v>2253</v>
      </c>
      <c r="F1930" s="680" t="s">
        <v>2769</v>
      </c>
      <c r="G1930" s="710">
        <v>735</v>
      </c>
      <c r="H1930" s="682">
        <v>2236</v>
      </c>
      <c r="J1930" s="668" t="str">
        <f t="shared" si="334"/>
        <v>(b) Technology Software</v>
      </c>
      <c r="L1930" s="668">
        <v>131</v>
      </c>
      <c r="M1930" s="669">
        <v>122</v>
      </c>
      <c r="N1930" s="668"/>
      <c r="O1930" s="668">
        <v>14</v>
      </c>
      <c r="P1930" s="668" t="str">
        <f>IFERROR(VLOOKUP(F1930, [2]MOE!B:C, 2, FALSE), "No")</f>
        <v>No</v>
      </c>
      <c r="Q1930" s="711"/>
      <c r="S1930" s="670" t="s">
        <v>2753</v>
      </c>
      <c r="T1930" s="668" t="s">
        <v>1055</v>
      </c>
    </row>
    <row r="1931" spans="1:20">
      <c r="A1931" s="679">
        <v>7302236</v>
      </c>
      <c r="B1931" s="677"/>
      <c r="C1931" s="672"/>
      <c r="D1931" s="672"/>
      <c r="E1931" s="676" t="s">
        <v>2255</v>
      </c>
      <c r="F1931" s="680" t="s">
        <v>2770</v>
      </c>
      <c r="G1931" s="710">
        <v>730</v>
      </c>
      <c r="H1931" s="682">
        <v>2236</v>
      </c>
      <c r="J1931" s="668" t="str">
        <f t="shared" si="334"/>
        <v>(c) All Other Equipment</v>
      </c>
      <c r="L1931" s="668">
        <v>131</v>
      </c>
      <c r="M1931" s="669">
        <v>122</v>
      </c>
      <c r="N1931" s="668"/>
      <c r="O1931" s="668">
        <v>14</v>
      </c>
      <c r="P1931" s="668" t="str">
        <f>IFERROR(VLOOKUP(F1931, [2]MOE!B:C, 2, FALSE), "No")</f>
        <v>No</v>
      </c>
      <c r="Q1931" s="711"/>
      <c r="S1931" s="670" t="s">
        <v>2753</v>
      </c>
      <c r="T1931" s="668" t="s">
        <v>1057</v>
      </c>
    </row>
    <row r="1932" spans="1:20">
      <c r="A1932" s="679">
        <v>7002236</v>
      </c>
      <c r="B1932" s="677"/>
      <c r="C1932" s="672"/>
      <c r="D1932" s="672"/>
      <c r="E1932" s="676" t="s">
        <v>2257</v>
      </c>
      <c r="F1932" s="680" t="s">
        <v>2771</v>
      </c>
      <c r="G1932" s="710">
        <v>700</v>
      </c>
      <c r="H1932" s="682">
        <v>2236</v>
      </c>
      <c r="J1932" s="668" t="str">
        <f t="shared" si="334"/>
        <v>(d) Other Property</v>
      </c>
      <c r="L1932" s="668">
        <v>132</v>
      </c>
      <c r="M1932" s="669">
        <v>123</v>
      </c>
      <c r="N1932" s="668"/>
      <c r="O1932" s="668">
        <v>14</v>
      </c>
      <c r="P1932" s="668" t="str">
        <f>IFERROR(VLOOKUP(F1932, [2]MOE!B:C, 2, FALSE), "No")</f>
        <v>No</v>
      </c>
      <c r="Q1932" s="711"/>
      <c r="S1932" s="670" t="s">
        <v>2753</v>
      </c>
      <c r="T1932" s="668" t="s">
        <v>1059</v>
      </c>
    </row>
    <row r="1933" spans="1:20">
      <c r="A1933" s="671"/>
      <c r="B1933" s="677"/>
      <c r="C1933" s="672"/>
      <c r="D1933" s="672"/>
      <c r="E1933" s="676" t="s">
        <v>2259</v>
      </c>
      <c r="F1933" s="675"/>
      <c r="G1933" s="672"/>
      <c r="H1933" s="676"/>
      <c r="Q1933" s="711"/>
      <c r="S1933" s="670"/>
    </row>
    <row r="1934" spans="1:20">
      <c r="A1934" s="679">
        <v>8952236</v>
      </c>
      <c r="B1934" s="677"/>
      <c r="C1934" s="672"/>
      <c r="D1934" s="672"/>
      <c r="E1934" s="676" t="s">
        <v>2260</v>
      </c>
      <c r="F1934" s="680" t="s">
        <v>2772</v>
      </c>
      <c r="G1934" s="710">
        <v>895</v>
      </c>
      <c r="H1934" s="682">
        <v>2236</v>
      </c>
      <c r="J1934" s="668" t="str">
        <f t="shared" ref="J1934:J1935" si="335">E1934</f>
        <v>(a) Misc. Non-Public Expenditures</v>
      </c>
      <c r="L1934" s="668">
        <v>139</v>
      </c>
      <c r="M1934" s="669">
        <v>129</v>
      </c>
      <c r="N1934" s="668"/>
      <c r="O1934" s="668">
        <v>14</v>
      </c>
      <c r="P1934" s="668" t="str">
        <f>IFERROR(VLOOKUP(F1934, [2]MOE!B:C, 2, FALSE), "No")</f>
        <v>No</v>
      </c>
      <c r="Q1934" s="711"/>
      <c r="S1934" s="670" t="s">
        <v>2753</v>
      </c>
      <c r="T1934" s="668" t="s">
        <v>2262</v>
      </c>
    </row>
    <row r="1935" spans="1:20">
      <c r="A1935" s="679">
        <v>8002236</v>
      </c>
      <c r="B1935" s="677"/>
      <c r="C1935" s="672"/>
      <c r="D1935" s="672"/>
      <c r="E1935" s="676" t="s">
        <v>2263</v>
      </c>
      <c r="F1935" s="680" t="s">
        <v>2773</v>
      </c>
      <c r="G1935" s="710">
        <v>800</v>
      </c>
      <c r="H1935" s="682">
        <v>2236</v>
      </c>
      <c r="J1935" s="668" t="str">
        <f t="shared" si="335"/>
        <v>(b) Other Miscellaneous Expenditures</v>
      </c>
      <c r="L1935" s="668">
        <v>139</v>
      </c>
      <c r="M1935" s="669">
        <v>129</v>
      </c>
      <c r="N1935" s="668"/>
      <c r="O1935" s="668">
        <v>14</v>
      </c>
      <c r="P1935" s="668" t="str">
        <f>IFERROR(VLOOKUP(F1935, [2]MOE!B:C, 2, FALSE), "No")</f>
        <v>No</v>
      </c>
      <c r="Q1935" s="711"/>
      <c r="S1935" s="670" t="s">
        <v>2753</v>
      </c>
      <c r="T1935" s="668" t="s">
        <v>1063</v>
      </c>
    </row>
    <row r="1936" spans="1:20">
      <c r="A1936" s="671"/>
      <c r="B1936" s="677"/>
      <c r="C1936" s="672"/>
      <c r="D1936" s="672"/>
      <c r="E1936" s="676" t="s">
        <v>2265</v>
      </c>
      <c r="F1936" s="675"/>
      <c r="G1936" s="672"/>
      <c r="H1936" s="676"/>
      <c r="Q1936" s="711"/>
      <c r="S1936" s="670"/>
    </row>
    <row r="1937" spans="1:20">
      <c r="A1937" s="679">
        <v>2102236</v>
      </c>
      <c r="B1937" s="677"/>
      <c r="C1937" s="672"/>
      <c r="D1937" s="672"/>
      <c r="E1937" s="676" t="s">
        <v>2266</v>
      </c>
      <c r="F1937" s="680" t="s">
        <v>2774</v>
      </c>
      <c r="G1937" s="710">
        <v>210</v>
      </c>
      <c r="H1937" s="682">
        <v>2236</v>
      </c>
      <c r="J1937" s="668" t="str">
        <f t="shared" ref="J1937:J1939" si="336">E1937</f>
        <v>(a) Group Insurance</v>
      </c>
      <c r="L1937" s="668">
        <v>89</v>
      </c>
      <c r="M1937" s="669">
        <v>84</v>
      </c>
      <c r="N1937" s="668"/>
      <c r="O1937" s="668">
        <v>14</v>
      </c>
      <c r="P1937" s="668" t="str">
        <f>IFERROR(VLOOKUP(F1937, [2]MOE!B:C, 2, FALSE), "No")</f>
        <v>No</v>
      </c>
      <c r="Q1937" s="711" t="s">
        <v>1004</v>
      </c>
      <c r="S1937" s="670" t="s">
        <v>2753</v>
      </c>
      <c r="T1937" s="668" t="s">
        <v>1066</v>
      </c>
    </row>
    <row r="1938" spans="1:20">
      <c r="A1938" s="679">
        <v>2202236</v>
      </c>
      <c r="B1938" s="677"/>
      <c r="C1938" s="672"/>
      <c r="D1938" s="672"/>
      <c r="E1938" s="676" t="s">
        <v>2268</v>
      </c>
      <c r="F1938" s="680" t="s">
        <v>2775</v>
      </c>
      <c r="G1938" s="710">
        <v>220</v>
      </c>
      <c r="H1938" s="682">
        <v>2236</v>
      </c>
      <c r="J1938" s="668" t="str">
        <f t="shared" si="336"/>
        <v>(b) FICA</v>
      </c>
      <c r="L1938" s="668">
        <v>90</v>
      </c>
      <c r="M1938" s="669">
        <v>85</v>
      </c>
      <c r="N1938" s="668"/>
      <c r="O1938" s="668">
        <v>14</v>
      </c>
      <c r="P1938" s="668" t="str">
        <f>IFERROR(VLOOKUP(F1938, [2]MOE!B:C, 2, FALSE), "No")</f>
        <v>No</v>
      </c>
      <c r="Q1938" s="711" t="s">
        <v>1004</v>
      </c>
      <c r="S1938" s="670" t="s">
        <v>2753</v>
      </c>
      <c r="T1938" s="668" t="s">
        <v>1068</v>
      </c>
    </row>
    <row r="1939" spans="1:20">
      <c r="A1939" s="679">
        <v>2252236</v>
      </c>
      <c r="B1939" s="677"/>
      <c r="C1939" s="672"/>
      <c r="D1939" s="672"/>
      <c r="E1939" s="676" t="s">
        <v>2270</v>
      </c>
      <c r="F1939" s="680" t="s">
        <v>2776</v>
      </c>
      <c r="G1939" s="710">
        <v>225</v>
      </c>
      <c r="H1939" s="682">
        <v>2236</v>
      </c>
      <c r="J1939" s="668" t="str">
        <f t="shared" si="336"/>
        <v>(c) Medicare</v>
      </c>
      <c r="L1939" s="668">
        <v>91</v>
      </c>
      <c r="M1939" s="669">
        <v>86</v>
      </c>
      <c r="N1939" s="668"/>
      <c r="O1939" s="668">
        <v>14</v>
      </c>
      <c r="P1939" s="668" t="str">
        <f>IFERROR(VLOOKUP(F1939, [2]MOE!B:C, 2, FALSE), "No")</f>
        <v>No</v>
      </c>
      <c r="Q1939" s="711" t="s">
        <v>1004</v>
      </c>
      <c r="S1939" s="670" t="s">
        <v>2753</v>
      </c>
      <c r="T1939" s="668" t="s">
        <v>23</v>
      </c>
    </row>
    <row r="1940" spans="1:20">
      <c r="A1940" s="671"/>
      <c r="B1940" s="677"/>
      <c r="C1940" s="672"/>
      <c r="D1940" s="672"/>
      <c r="E1940" s="676" t="s">
        <v>2272</v>
      </c>
      <c r="F1940" s="675"/>
      <c r="G1940" s="672"/>
      <c r="H1940" s="676"/>
      <c r="Q1940" s="711"/>
      <c r="S1940" s="670"/>
    </row>
    <row r="1941" spans="1:20">
      <c r="A1941" s="679">
        <v>2312236</v>
      </c>
      <c r="B1941" s="677"/>
      <c r="C1941" s="672"/>
      <c r="D1941" s="672"/>
      <c r="E1941" s="676" t="s">
        <v>2273</v>
      </c>
      <c r="F1941" s="680" t="s">
        <v>2777</v>
      </c>
      <c r="G1941" s="710">
        <v>231</v>
      </c>
      <c r="H1941" s="682">
        <v>2236</v>
      </c>
      <c r="J1941" s="668" t="str">
        <f t="shared" ref="J1941:J1950" si="337">E1941</f>
        <v>1) Louisiana Teachers Retirement</v>
      </c>
      <c r="L1941" s="668">
        <v>92</v>
      </c>
      <c r="M1941" s="669">
        <v>87</v>
      </c>
      <c r="N1941" s="668"/>
      <c r="O1941" s="668">
        <v>14</v>
      </c>
      <c r="P1941" s="668" t="str">
        <f>IFERROR(VLOOKUP(F1941, [2]MOE!B:C, 2, FALSE), "No")</f>
        <v>No</v>
      </c>
      <c r="Q1941" s="711" t="s">
        <v>1004</v>
      </c>
      <c r="S1941" s="670" t="s">
        <v>2753</v>
      </c>
      <c r="T1941" s="668" t="s">
        <v>1074</v>
      </c>
    </row>
    <row r="1942" spans="1:20">
      <c r="A1942" s="679">
        <v>2332236</v>
      </c>
      <c r="B1942" s="677"/>
      <c r="C1942" s="672"/>
      <c r="D1942" s="672"/>
      <c r="E1942" s="676" t="s">
        <v>2275</v>
      </c>
      <c r="F1942" s="680" t="s">
        <v>2778</v>
      </c>
      <c r="G1942" s="710">
        <v>233</v>
      </c>
      <c r="H1942" s="682">
        <v>2236</v>
      </c>
      <c r="J1942" s="668" t="str">
        <f t="shared" si="337"/>
        <v>2) Louisiana School Emp. Retire.</v>
      </c>
      <c r="L1942" s="668">
        <v>92</v>
      </c>
      <c r="M1942" s="669">
        <v>87</v>
      </c>
      <c r="N1942" s="668"/>
      <c r="O1942" s="668">
        <v>14</v>
      </c>
      <c r="P1942" s="668" t="str">
        <f>IFERROR(VLOOKUP(F1942, [2]MOE!B:C, 2, FALSE), "No")</f>
        <v>No</v>
      </c>
      <c r="Q1942" s="711" t="s">
        <v>1004</v>
      </c>
      <c r="S1942" s="670" t="s">
        <v>2753</v>
      </c>
      <c r="T1942" s="668" t="s">
        <v>2277</v>
      </c>
    </row>
    <row r="1943" spans="1:20">
      <c r="A1943" s="679">
        <v>2392236</v>
      </c>
      <c r="B1943" s="677"/>
      <c r="C1943" s="672"/>
      <c r="D1943" s="672"/>
      <c r="E1943" s="676" t="s">
        <v>2278</v>
      </c>
      <c r="F1943" s="680" t="s">
        <v>2779</v>
      </c>
      <c r="G1943" s="710">
        <v>239</v>
      </c>
      <c r="H1943" s="682">
        <v>2236</v>
      </c>
      <c r="J1943" s="668" t="str">
        <f t="shared" si="337"/>
        <v>3) Other Retirement</v>
      </c>
      <c r="L1943" s="668">
        <v>92</v>
      </c>
      <c r="M1943" s="669">
        <v>87</v>
      </c>
      <c r="N1943" s="668"/>
      <c r="O1943" s="668">
        <v>14</v>
      </c>
      <c r="P1943" s="668" t="str">
        <f>IFERROR(VLOOKUP(F1943, [2]MOE!B:C, 2, FALSE), "No")</f>
        <v>No</v>
      </c>
      <c r="Q1943" s="711" t="s">
        <v>1004</v>
      </c>
      <c r="S1943" s="670" t="s">
        <v>2753</v>
      </c>
      <c r="T1943" s="668" t="s">
        <v>1080</v>
      </c>
    </row>
    <row r="1944" spans="1:20">
      <c r="A1944" s="679">
        <v>2402236</v>
      </c>
      <c r="B1944" s="677"/>
      <c r="C1944" s="672"/>
      <c r="D1944" s="672"/>
      <c r="E1944" s="676" t="s">
        <v>2587</v>
      </c>
      <c r="F1944" s="680" t="s">
        <v>2780</v>
      </c>
      <c r="G1944" s="710">
        <v>240</v>
      </c>
      <c r="H1944" s="682">
        <v>2236</v>
      </c>
      <c r="J1944" s="668" t="str">
        <f t="shared" si="337"/>
        <v>(e) Educational Reimbursement</v>
      </c>
      <c r="L1944" s="668">
        <v>95</v>
      </c>
      <c r="M1944" s="669">
        <v>90</v>
      </c>
      <c r="N1944" s="668"/>
      <c r="O1944" s="668">
        <v>14</v>
      </c>
      <c r="P1944" s="668" t="str">
        <f>IFERROR(VLOOKUP(F1944, [2]MOE!B:C, 2, FALSE), "No")</f>
        <v>No</v>
      </c>
      <c r="Q1944" s="711" t="s">
        <v>1004</v>
      </c>
      <c r="S1944" s="670" t="s">
        <v>2753</v>
      </c>
      <c r="T1944" s="668" t="s">
        <v>2589</v>
      </c>
    </row>
    <row r="1945" spans="1:20">
      <c r="A1945" s="679">
        <v>2502236</v>
      </c>
      <c r="B1945" s="677"/>
      <c r="C1945" s="672"/>
      <c r="D1945" s="672"/>
      <c r="E1945" s="676" t="s">
        <v>2590</v>
      </c>
      <c r="F1945" s="680" t="s">
        <v>2781</v>
      </c>
      <c r="G1945" s="710">
        <v>250</v>
      </c>
      <c r="H1945" s="682">
        <v>2236</v>
      </c>
      <c r="J1945" s="668" t="str">
        <f t="shared" si="337"/>
        <v>(f) Unemployment Compensation</v>
      </c>
      <c r="L1945" s="668">
        <v>93</v>
      </c>
      <c r="M1945" s="669">
        <v>88</v>
      </c>
      <c r="N1945" s="668"/>
      <c r="O1945" s="668">
        <v>14</v>
      </c>
      <c r="P1945" s="668" t="str">
        <f>IFERROR(VLOOKUP(F1945, [2]MOE!B:C, 2, FALSE), "No")</f>
        <v>No</v>
      </c>
      <c r="Q1945" s="711" t="s">
        <v>1004</v>
      </c>
      <c r="S1945" s="670" t="s">
        <v>2753</v>
      </c>
      <c r="T1945" s="668" t="s">
        <v>1081</v>
      </c>
    </row>
    <row r="1946" spans="1:20">
      <c r="A1946" s="679">
        <v>2602236</v>
      </c>
      <c r="B1946" s="677"/>
      <c r="C1946" s="672"/>
      <c r="D1946" s="672"/>
      <c r="E1946" s="676" t="s">
        <v>2592</v>
      </c>
      <c r="F1946" s="680" t="s">
        <v>2782</v>
      </c>
      <c r="G1946" s="710">
        <v>260</v>
      </c>
      <c r="H1946" s="682">
        <v>2236</v>
      </c>
      <c r="J1946" s="668" t="str">
        <f t="shared" si="337"/>
        <v>(g) Workmen's Compensation</v>
      </c>
      <c r="L1946" s="668">
        <v>95</v>
      </c>
      <c r="M1946" s="669">
        <v>90</v>
      </c>
      <c r="N1946" s="668"/>
      <c r="O1946" s="668">
        <v>14</v>
      </c>
      <c r="P1946" s="668" t="str">
        <f>IFERROR(VLOOKUP(F1946, [2]MOE!B:C, 2, FALSE), "No")</f>
        <v>No</v>
      </c>
      <c r="Q1946" s="711" t="s">
        <v>1004</v>
      </c>
      <c r="S1946" s="670" t="s">
        <v>2753</v>
      </c>
      <c r="T1946" s="668" t="s">
        <v>1083</v>
      </c>
    </row>
    <row r="1947" spans="1:20">
      <c r="A1947" s="679">
        <v>2702236</v>
      </c>
      <c r="B1947" s="677"/>
      <c r="C1947" s="672"/>
      <c r="D1947" s="672"/>
      <c r="E1947" s="676" t="s">
        <v>2594</v>
      </c>
      <c r="F1947" s="680" t="s">
        <v>2783</v>
      </c>
      <c r="G1947" s="710">
        <v>270</v>
      </c>
      <c r="H1947" s="682">
        <v>2236</v>
      </c>
      <c r="J1947" s="668" t="str">
        <f t="shared" si="337"/>
        <v>(h) Health Benefits (retirees)</v>
      </c>
      <c r="L1947" s="668">
        <v>94</v>
      </c>
      <c r="M1947" s="669">
        <v>89</v>
      </c>
      <c r="N1947" s="668"/>
      <c r="O1947" s="668">
        <v>14</v>
      </c>
      <c r="P1947" s="668" t="str">
        <f>IFERROR(VLOOKUP(F1947, [2]MOE!B:C, 2, FALSE), "No")</f>
        <v>No</v>
      </c>
      <c r="Q1947" s="711" t="s">
        <v>1004</v>
      </c>
      <c r="S1947" s="670" t="s">
        <v>2753</v>
      </c>
      <c r="T1947" s="668" t="s">
        <v>1085</v>
      </c>
    </row>
    <row r="1948" spans="1:20">
      <c r="A1948" s="679">
        <v>2812236</v>
      </c>
      <c r="B1948" s="677"/>
      <c r="C1948" s="672"/>
      <c r="D1948" s="672"/>
      <c r="E1948" s="676" t="s">
        <v>2596</v>
      </c>
      <c r="F1948" s="680" t="s">
        <v>2784</v>
      </c>
      <c r="G1948" s="710">
        <v>281</v>
      </c>
      <c r="H1948" s="682">
        <v>2236</v>
      </c>
      <c r="J1948" s="668" t="str">
        <f t="shared" si="337"/>
        <v>(i) Sick Leave Severance Pay</v>
      </c>
      <c r="L1948" s="668">
        <v>95</v>
      </c>
      <c r="M1948" s="669">
        <v>90</v>
      </c>
      <c r="N1948" s="668"/>
      <c r="O1948" s="668">
        <v>14</v>
      </c>
      <c r="P1948" s="668" t="str">
        <f>IFERROR(VLOOKUP(F1948, [2]MOE!B:C, 2, FALSE), "No")</f>
        <v>No</v>
      </c>
      <c r="Q1948" s="711" t="s">
        <v>1004</v>
      </c>
      <c r="S1948" s="670" t="s">
        <v>2753</v>
      </c>
      <c r="T1948" s="668" t="s">
        <v>1087</v>
      </c>
    </row>
    <row r="1949" spans="1:20">
      <c r="A1949" s="679">
        <v>2822236</v>
      </c>
      <c r="B1949" s="677"/>
      <c r="C1949" s="672"/>
      <c r="D1949" s="672"/>
      <c r="E1949" s="676" t="s">
        <v>2598</v>
      </c>
      <c r="F1949" s="680" t="s">
        <v>2785</v>
      </c>
      <c r="G1949" s="710">
        <v>282</v>
      </c>
      <c r="H1949" s="682">
        <v>2236</v>
      </c>
      <c r="J1949" s="668" t="str">
        <f t="shared" si="337"/>
        <v>(j) Annual Leave Severance Pay</v>
      </c>
      <c r="L1949" s="668">
        <v>95</v>
      </c>
      <c r="M1949" s="669">
        <v>90</v>
      </c>
      <c r="N1949" s="668"/>
      <c r="O1949" s="668">
        <v>14</v>
      </c>
      <c r="P1949" s="668" t="str">
        <f>IFERROR(VLOOKUP(F1949, [2]MOE!B:C, 2, FALSE), "No")</f>
        <v>No</v>
      </c>
      <c r="Q1949" s="711" t="s">
        <v>1004</v>
      </c>
      <c r="S1949" s="670" t="s">
        <v>2753</v>
      </c>
      <c r="T1949" s="668" t="s">
        <v>1089</v>
      </c>
    </row>
    <row r="1950" spans="1:20">
      <c r="A1950" s="679">
        <v>2902236</v>
      </c>
      <c r="B1950" s="677"/>
      <c r="C1950" s="672"/>
      <c r="D1950" s="672"/>
      <c r="E1950" s="676" t="s">
        <v>2600</v>
      </c>
      <c r="F1950" s="680" t="s">
        <v>2786</v>
      </c>
      <c r="G1950" s="710">
        <v>290</v>
      </c>
      <c r="H1950" s="682">
        <v>2236</v>
      </c>
      <c r="J1950" s="668" t="str">
        <f t="shared" si="337"/>
        <v>(k) Other Employee Benefits</v>
      </c>
      <c r="L1950" s="668">
        <v>95</v>
      </c>
      <c r="M1950" s="669">
        <v>90</v>
      </c>
      <c r="N1950" s="668"/>
      <c r="O1950" s="668">
        <v>14</v>
      </c>
      <c r="P1950" s="668" t="str">
        <f>IFERROR(VLOOKUP(F1950, [2]MOE!B:C, 2, FALSE), "No")</f>
        <v>No</v>
      </c>
      <c r="Q1950" s="711" t="s">
        <v>1004</v>
      </c>
      <c r="S1950" s="670" t="s">
        <v>2753</v>
      </c>
      <c r="T1950" s="668" t="s">
        <v>1092</v>
      </c>
    </row>
    <row r="1951" spans="1:20">
      <c r="A1951" s="671"/>
      <c r="B1951" s="677"/>
      <c r="C1951" s="672"/>
      <c r="D1951" s="672" t="s">
        <v>856</v>
      </c>
      <c r="E1951" s="675" t="s">
        <v>2787</v>
      </c>
      <c r="F1951" s="675"/>
      <c r="G1951" s="672"/>
      <c r="H1951" s="676"/>
      <c r="Q1951" s="711"/>
      <c r="S1951" s="670"/>
    </row>
    <row r="1952" spans="1:20">
      <c r="A1952" s="671"/>
      <c r="B1952" s="677"/>
      <c r="C1952" s="672"/>
      <c r="D1952" s="672"/>
      <c r="E1952" s="676" t="s">
        <v>2679</v>
      </c>
      <c r="F1952" s="675"/>
      <c r="G1952" s="672"/>
      <c r="H1952" s="676"/>
      <c r="Q1952" s="711"/>
      <c r="S1952" s="670"/>
    </row>
    <row r="1953" spans="1:20">
      <c r="A1953" s="679">
        <v>1112239</v>
      </c>
      <c r="B1953" s="677"/>
      <c r="C1953" s="672"/>
      <c r="D1953" s="672"/>
      <c r="E1953" s="676" t="s">
        <v>2215</v>
      </c>
      <c r="F1953" s="680" t="s">
        <v>2788</v>
      </c>
      <c r="G1953" s="710">
        <v>111</v>
      </c>
      <c r="H1953" s="682">
        <v>2239</v>
      </c>
      <c r="J1953" s="668" t="str">
        <f t="shared" ref="J1953:J1959" si="338">E1953</f>
        <v>(a) Director/Supervisors</v>
      </c>
      <c r="L1953" s="668">
        <v>81</v>
      </c>
      <c r="M1953" s="669">
        <v>76</v>
      </c>
      <c r="N1953" s="668"/>
      <c r="O1953" s="668">
        <v>14</v>
      </c>
      <c r="P1953" s="668" t="str">
        <f>IFERROR(VLOOKUP(F1953, [2]MOE!B:C, 2, FALSE), "No")</f>
        <v>No</v>
      </c>
      <c r="Q1953" s="711" t="s">
        <v>1004</v>
      </c>
      <c r="S1953" s="670" t="s">
        <v>2789</v>
      </c>
      <c r="T1953" s="668" t="s">
        <v>2218</v>
      </c>
    </row>
    <row r="1954" spans="1:20">
      <c r="A1954" s="679">
        <v>1122239</v>
      </c>
      <c r="B1954" s="677"/>
      <c r="C1954" s="672"/>
      <c r="D1954" s="672"/>
      <c r="E1954" s="676" t="s">
        <v>2554</v>
      </c>
      <c r="F1954" s="680" t="s">
        <v>2790</v>
      </c>
      <c r="G1954" s="710">
        <v>112</v>
      </c>
      <c r="H1954" s="682">
        <v>2239</v>
      </c>
      <c r="J1954" s="668" t="str">
        <f t="shared" si="338"/>
        <v>(b) Staff Instructors</v>
      </c>
      <c r="L1954" s="668">
        <v>82</v>
      </c>
      <c r="M1954" s="669">
        <v>77</v>
      </c>
      <c r="N1954" s="668"/>
      <c r="O1954" s="668">
        <v>14</v>
      </c>
      <c r="P1954" s="668" t="str">
        <f>IFERROR(VLOOKUP(F1954, [2]MOE!B:C, 2, FALSE), "No")</f>
        <v>No</v>
      </c>
      <c r="Q1954" s="711" t="s">
        <v>1004</v>
      </c>
      <c r="S1954" s="670" t="s">
        <v>2789</v>
      </c>
      <c r="T1954" s="668" t="s">
        <v>2556</v>
      </c>
    </row>
    <row r="1955" spans="1:20">
      <c r="A1955" s="679">
        <v>1132239</v>
      </c>
      <c r="B1955" s="677"/>
      <c r="C1955" s="672"/>
      <c r="D1955" s="672"/>
      <c r="E1955" s="676" t="s">
        <v>2557</v>
      </c>
      <c r="F1955" s="680" t="s">
        <v>2791</v>
      </c>
      <c r="G1955" s="710">
        <v>113</v>
      </c>
      <c r="H1955" s="682">
        <v>2239</v>
      </c>
      <c r="J1955" s="668" t="str">
        <f t="shared" si="338"/>
        <v>(c) Specialists</v>
      </c>
      <c r="L1955" s="668">
        <v>83</v>
      </c>
      <c r="M1955" s="669">
        <v>78</v>
      </c>
      <c r="N1955" s="668"/>
      <c r="O1955" s="668">
        <v>14</v>
      </c>
      <c r="P1955" s="668" t="str">
        <f>IFERROR(VLOOKUP(F1955, [2]MOE!B:C, 2, FALSE), "No")</f>
        <v>No</v>
      </c>
      <c r="Q1955" s="711" t="s">
        <v>1004</v>
      </c>
      <c r="S1955" s="670" t="s">
        <v>2789</v>
      </c>
      <c r="T1955" s="668" t="s">
        <v>2221</v>
      </c>
    </row>
    <row r="1956" spans="1:20">
      <c r="A1956" s="679">
        <v>1002239</v>
      </c>
      <c r="B1956" s="677"/>
      <c r="C1956" s="672"/>
      <c r="D1956" s="672"/>
      <c r="E1956" s="676" t="s">
        <v>2224</v>
      </c>
      <c r="F1956" s="680" t="s">
        <v>2792</v>
      </c>
      <c r="G1956" s="710">
        <v>100</v>
      </c>
      <c r="H1956" s="682">
        <v>2239</v>
      </c>
      <c r="J1956" s="668" t="str">
        <f t="shared" si="338"/>
        <v>(d) Other Salaries</v>
      </c>
      <c r="L1956" s="668">
        <v>86</v>
      </c>
      <c r="M1956" s="669">
        <v>81</v>
      </c>
      <c r="N1956" s="668"/>
      <c r="O1956" s="668">
        <v>14</v>
      </c>
      <c r="P1956" s="668" t="str">
        <f>IFERROR(VLOOKUP(F1956, [2]MOE!B:C, 2, FALSE), "No")</f>
        <v>No</v>
      </c>
      <c r="Q1956" s="711" t="s">
        <v>1004</v>
      </c>
      <c r="S1956" s="670" t="s">
        <v>2789</v>
      </c>
      <c r="T1956" s="668" t="s">
        <v>1947</v>
      </c>
    </row>
    <row r="1957" spans="1:20">
      <c r="A1957" s="679">
        <v>1402239</v>
      </c>
      <c r="B1957" s="677"/>
      <c r="C1957" s="672"/>
      <c r="D1957" s="672"/>
      <c r="E1957" s="676" t="s">
        <v>2226</v>
      </c>
      <c r="F1957" s="680" t="s">
        <v>2793</v>
      </c>
      <c r="G1957" s="710">
        <v>140</v>
      </c>
      <c r="H1957" s="682">
        <v>2239</v>
      </c>
      <c r="J1957" s="668" t="str">
        <f t="shared" si="338"/>
        <v>(e) Sabbatical Leave</v>
      </c>
      <c r="L1957" s="668">
        <v>86</v>
      </c>
      <c r="M1957" s="669">
        <v>81</v>
      </c>
      <c r="N1957" s="668"/>
      <c r="O1957" s="668">
        <v>14</v>
      </c>
      <c r="P1957" s="668" t="str">
        <f>IFERROR(VLOOKUP(F1957, [2]MOE!B:C, 2, FALSE), "No")</f>
        <v>No</v>
      </c>
      <c r="Q1957" s="711" t="s">
        <v>1004</v>
      </c>
      <c r="S1957" s="670" t="s">
        <v>2789</v>
      </c>
      <c r="T1957" s="668" t="s">
        <v>1019</v>
      </c>
    </row>
    <row r="1958" spans="1:20">
      <c r="A1958" s="679">
        <v>1502239</v>
      </c>
      <c r="B1958" s="677"/>
      <c r="C1958" s="672"/>
      <c r="D1958" s="672"/>
      <c r="E1958" s="676" t="s">
        <v>2561</v>
      </c>
      <c r="F1958" s="680" t="s">
        <v>2794</v>
      </c>
      <c r="G1958" s="710">
        <v>150</v>
      </c>
      <c r="H1958" s="682">
        <v>2239</v>
      </c>
      <c r="J1958" s="668" t="str">
        <f t="shared" si="338"/>
        <v>(f) Stipend Pay</v>
      </c>
      <c r="L1958" s="668">
        <v>86</v>
      </c>
      <c r="M1958" s="669">
        <v>81</v>
      </c>
      <c r="N1958" s="668"/>
      <c r="O1958" s="668">
        <v>14</v>
      </c>
      <c r="P1958" s="668" t="str">
        <f>IFERROR(VLOOKUP(F1958, [2]MOE!B:C, 2, FALSE), "No")</f>
        <v>No</v>
      </c>
      <c r="Q1958" s="711" t="s">
        <v>1004</v>
      </c>
      <c r="S1958" s="670" t="s">
        <v>2789</v>
      </c>
      <c r="T1958" s="668" t="s">
        <v>2563</v>
      </c>
    </row>
    <row r="1959" spans="1:20">
      <c r="A1959" s="679">
        <v>3002239</v>
      </c>
      <c r="B1959" s="677"/>
      <c r="C1959" s="672"/>
      <c r="D1959" s="672"/>
      <c r="E1959" s="676" t="s">
        <v>2564</v>
      </c>
      <c r="F1959" s="680" t="s">
        <v>2795</v>
      </c>
      <c r="G1959" s="710">
        <v>300</v>
      </c>
      <c r="H1959" s="682">
        <v>2239</v>
      </c>
      <c r="J1959" s="668" t="str">
        <f t="shared" si="338"/>
        <v>(2) Purchased Professional and Tech Svcs</v>
      </c>
      <c r="L1959" s="668">
        <v>101</v>
      </c>
      <c r="M1959" s="669">
        <v>96</v>
      </c>
      <c r="N1959" s="668"/>
      <c r="O1959" s="668">
        <v>14</v>
      </c>
      <c r="P1959" s="668" t="str">
        <f>IFERROR(VLOOKUP(F1959, [2]MOE!B:C, 2, FALSE), "No")</f>
        <v>No</v>
      </c>
      <c r="Q1959" s="711"/>
      <c r="S1959" s="670" t="s">
        <v>2789</v>
      </c>
      <c r="T1959" s="668" t="s">
        <v>2566</v>
      </c>
    </row>
    <row r="1960" spans="1:20">
      <c r="A1960" s="671"/>
      <c r="B1960" s="677"/>
      <c r="C1960" s="672"/>
      <c r="D1960" s="672"/>
      <c r="E1960" s="676" t="s">
        <v>2231</v>
      </c>
      <c r="F1960" s="675"/>
      <c r="G1960" s="672"/>
      <c r="H1960" s="676"/>
      <c r="Q1960" s="711"/>
      <c r="S1960" s="670"/>
    </row>
    <row r="1961" spans="1:20">
      <c r="A1961" s="679">
        <v>4302239</v>
      </c>
      <c r="B1961" s="677"/>
      <c r="C1961" s="672"/>
      <c r="D1961" s="672"/>
      <c r="E1961" s="676" t="s">
        <v>2232</v>
      </c>
      <c r="F1961" s="680" t="s">
        <v>2796</v>
      </c>
      <c r="G1961" s="710">
        <v>430</v>
      </c>
      <c r="H1961" s="682">
        <v>2239</v>
      </c>
      <c r="J1961" s="668" t="str">
        <f t="shared" ref="J1961:J1963" si="339">E1961</f>
        <v>(a) Repairs and Maintenance Services</v>
      </c>
      <c r="L1961" s="668">
        <v>107</v>
      </c>
      <c r="M1961" s="669">
        <v>102</v>
      </c>
      <c r="N1961" s="668"/>
      <c r="O1961" s="668">
        <v>14</v>
      </c>
      <c r="P1961" s="668" t="str">
        <f>IFERROR(VLOOKUP(F1961, [2]MOE!B:C, 2, FALSE), "No")</f>
        <v>No</v>
      </c>
      <c r="Q1961" s="711"/>
      <c r="S1961" s="670" t="s">
        <v>2789</v>
      </c>
      <c r="T1961" s="668" t="s">
        <v>1023</v>
      </c>
    </row>
    <row r="1962" spans="1:20">
      <c r="A1962" s="679">
        <v>4422239</v>
      </c>
      <c r="B1962" s="677"/>
      <c r="C1962" s="672"/>
      <c r="D1962" s="672"/>
      <c r="E1962" s="676" t="s">
        <v>2234</v>
      </c>
      <c r="F1962" s="680" t="s">
        <v>2797</v>
      </c>
      <c r="G1962" s="710">
        <v>442</v>
      </c>
      <c r="H1962" s="682">
        <v>2239</v>
      </c>
      <c r="J1962" s="668" t="str">
        <f t="shared" si="339"/>
        <v>(b) Rental of Equipment</v>
      </c>
      <c r="L1962" s="668">
        <v>106</v>
      </c>
      <c r="M1962" s="669">
        <v>101</v>
      </c>
      <c r="N1962" s="668"/>
      <c r="O1962" s="668">
        <v>14</v>
      </c>
      <c r="P1962" s="668" t="str">
        <f>IFERROR(VLOOKUP(F1962, [2]MOE!B:C, 2, FALSE), "No")</f>
        <v>No</v>
      </c>
      <c r="Q1962" s="711"/>
      <c r="S1962" s="670" t="s">
        <v>2789</v>
      </c>
      <c r="T1962" s="668" t="s">
        <v>1025</v>
      </c>
    </row>
    <row r="1963" spans="1:20">
      <c r="A1963" s="679">
        <v>4002239</v>
      </c>
      <c r="B1963" s="677"/>
      <c r="C1963" s="672"/>
      <c r="D1963" s="672"/>
      <c r="E1963" s="676" t="s">
        <v>2236</v>
      </c>
      <c r="F1963" s="680" t="s">
        <v>2798</v>
      </c>
      <c r="G1963" s="710">
        <v>400</v>
      </c>
      <c r="H1963" s="682">
        <v>2239</v>
      </c>
      <c r="J1963" s="668" t="str">
        <f t="shared" si="339"/>
        <v>(c) Other Purchased Property Svcs</v>
      </c>
      <c r="L1963" s="668">
        <v>108</v>
      </c>
      <c r="M1963" s="669">
        <v>103</v>
      </c>
      <c r="N1963" s="668"/>
      <c r="O1963" s="668">
        <v>14</v>
      </c>
      <c r="P1963" s="668" t="str">
        <f>IFERROR(VLOOKUP(F1963, [2]MOE!B:C, 2, FALSE), "No")</f>
        <v>No</v>
      </c>
      <c r="Q1963" s="711"/>
      <c r="S1963" s="670" t="s">
        <v>2789</v>
      </c>
      <c r="T1963" s="668" t="s">
        <v>2238</v>
      </c>
    </row>
    <row r="1964" spans="1:20">
      <c r="A1964" s="671"/>
      <c r="B1964" s="677"/>
      <c r="C1964" s="672"/>
      <c r="D1964" s="672"/>
      <c r="E1964" s="676" t="s">
        <v>1395</v>
      </c>
      <c r="F1964" s="675"/>
      <c r="G1964" s="672"/>
      <c r="H1964" s="676"/>
      <c r="Q1964" s="711"/>
      <c r="S1964" s="670"/>
    </row>
    <row r="1965" spans="1:20">
      <c r="A1965" s="679">
        <v>5822239</v>
      </c>
      <c r="B1965" s="677"/>
      <c r="C1965" s="672"/>
      <c r="D1965" s="672"/>
      <c r="E1965" s="676" t="s">
        <v>2239</v>
      </c>
      <c r="F1965" s="680" t="s">
        <v>2799</v>
      </c>
      <c r="G1965" s="710">
        <v>582</v>
      </c>
      <c r="H1965" s="682">
        <v>2239</v>
      </c>
      <c r="J1965" s="668" t="str">
        <f t="shared" ref="J1965:J1966" si="340">E1965</f>
        <v>(a) Travel Expense Reimbursement</v>
      </c>
      <c r="L1965" s="668">
        <v>118</v>
      </c>
      <c r="M1965" s="669">
        <v>109</v>
      </c>
      <c r="N1965" s="668"/>
      <c r="O1965" s="668">
        <v>14</v>
      </c>
      <c r="P1965" s="668" t="str">
        <f>IFERROR(VLOOKUP(F1965, [2]MOE!B:C, 2, FALSE), "No")</f>
        <v>No</v>
      </c>
      <c r="Q1965" s="711"/>
      <c r="S1965" s="670" t="s">
        <v>2789</v>
      </c>
      <c r="T1965" s="668" t="s">
        <v>1039</v>
      </c>
    </row>
    <row r="1966" spans="1:20">
      <c r="A1966" s="679">
        <v>5002239</v>
      </c>
      <c r="B1966" s="677"/>
      <c r="C1966" s="672"/>
      <c r="D1966" s="672"/>
      <c r="E1966" s="676" t="s">
        <v>2241</v>
      </c>
      <c r="F1966" s="680" t="s">
        <v>2800</v>
      </c>
      <c r="G1966" s="710">
        <v>500</v>
      </c>
      <c r="H1966" s="682">
        <v>2239</v>
      </c>
      <c r="J1966" s="668" t="str">
        <f t="shared" si="340"/>
        <v>(b) Other Purchased Services</v>
      </c>
      <c r="L1966" s="668">
        <v>119</v>
      </c>
      <c r="M1966" s="669">
        <v>110</v>
      </c>
      <c r="N1966" s="668"/>
      <c r="O1966" s="668">
        <v>14</v>
      </c>
      <c r="P1966" s="668" t="str">
        <f>IFERROR(VLOOKUP(F1966, [2]MOE!B:C, 2, FALSE), "No")</f>
        <v>No</v>
      </c>
      <c r="Q1966" s="711"/>
      <c r="S1966" s="670" t="s">
        <v>2789</v>
      </c>
      <c r="T1966" s="668" t="s">
        <v>252</v>
      </c>
    </row>
    <row r="1967" spans="1:20">
      <c r="A1967" s="671"/>
      <c r="B1967" s="677"/>
      <c r="C1967" s="672"/>
      <c r="D1967" s="672"/>
      <c r="E1967" s="676" t="s">
        <v>2243</v>
      </c>
      <c r="F1967" s="675"/>
      <c r="G1967" s="672"/>
      <c r="H1967" s="676"/>
      <c r="Q1967" s="711"/>
      <c r="S1967" s="670"/>
    </row>
    <row r="1968" spans="1:20">
      <c r="A1968" s="679">
        <v>6152239</v>
      </c>
      <c r="B1968" s="677"/>
      <c r="C1968" s="672"/>
      <c r="D1968" s="672"/>
      <c r="E1968" s="676" t="s">
        <v>2244</v>
      </c>
      <c r="F1968" s="680" t="s">
        <v>2801</v>
      </c>
      <c r="G1968" s="710">
        <v>615</v>
      </c>
      <c r="H1968" s="682">
        <v>2239</v>
      </c>
      <c r="J1968" s="668" t="str">
        <f t="shared" ref="J1968:J1970" si="341">E1968</f>
        <v>(a) Technology-Related Supplies</v>
      </c>
      <c r="L1968" s="668">
        <v>126</v>
      </c>
      <c r="M1968" s="669">
        <v>117</v>
      </c>
      <c r="N1968" s="668"/>
      <c r="O1968" s="668">
        <v>14</v>
      </c>
      <c r="P1968" s="668" t="str">
        <f>IFERROR(VLOOKUP(F1968, [2]MOE!B:C, 2, FALSE), "No")</f>
        <v>No</v>
      </c>
      <c r="Q1968" s="711" t="s">
        <v>1045</v>
      </c>
      <c r="S1968" s="670" t="s">
        <v>2789</v>
      </c>
      <c r="T1968" s="668" t="s">
        <v>1043</v>
      </c>
    </row>
    <row r="1969" spans="1:20">
      <c r="A1969" s="679">
        <v>6102239</v>
      </c>
      <c r="B1969" s="677"/>
      <c r="C1969" s="672"/>
      <c r="D1969" s="672"/>
      <c r="E1969" s="676" t="s">
        <v>2246</v>
      </c>
      <c r="F1969" s="680" t="s">
        <v>2802</v>
      </c>
      <c r="G1969" s="710">
        <v>610</v>
      </c>
      <c r="H1969" s="682">
        <v>2239</v>
      </c>
      <c r="J1969" s="668" t="str">
        <f t="shared" si="341"/>
        <v>(b) Materials and Supplies</v>
      </c>
      <c r="L1969" s="668">
        <v>122</v>
      </c>
      <c r="M1969" s="669">
        <v>113</v>
      </c>
      <c r="N1969" s="668"/>
      <c r="O1969" s="668">
        <v>14</v>
      </c>
      <c r="P1969" s="668" t="str">
        <f>IFERROR(VLOOKUP(F1969, [2]MOE!B:C, 2, FALSE), "No")</f>
        <v>No</v>
      </c>
      <c r="Q1969" s="711" t="s">
        <v>1045</v>
      </c>
      <c r="S1969" s="670" t="s">
        <v>2789</v>
      </c>
      <c r="T1969" s="668" t="s">
        <v>39</v>
      </c>
    </row>
    <row r="1970" spans="1:20">
      <c r="A1970" s="679">
        <v>6002239</v>
      </c>
      <c r="B1970" s="677"/>
      <c r="C1970" s="672"/>
      <c r="D1970" s="672"/>
      <c r="E1970" s="676" t="s">
        <v>2248</v>
      </c>
      <c r="F1970" s="680" t="s">
        <v>2803</v>
      </c>
      <c r="G1970" s="710">
        <v>600</v>
      </c>
      <c r="H1970" s="682">
        <v>2239</v>
      </c>
      <c r="J1970" s="668" t="str">
        <f t="shared" si="341"/>
        <v>(c) Other Supplies</v>
      </c>
      <c r="L1970" s="668">
        <v>126</v>
      </c>
      <c r="M1970" s="669">
        <v>117</v>
      </c>
      <c r="N1970" s="668"/>
      <c r="O1970" s="668">
        <v>14</v>
      </c>
      <c r="P1970" s="668" t="str">
        <f>IFERROR(VLOOKUP(F1970, [2]MOE!B:C, 2, FALSE), "No")</f>
        <v>No</v>
      </c>
      <c r="Q1970" s="711"/>
      <c r="S1970" s="670" t="s">
        <v>2789</v>
      </c>
      <c r="T1970" s="668" t="s">
        <v>1050</v>
      </c>
    </row>
    <row r="1971" spans="1:20">
      <c r="A1971" s="671"/>
      <c r="B1971" s="677"/>
      <c r="C1971" s="672"/>
      <c r="D1971" s="672"/>
      <c r="E1971" s="676" t="s">
        <v>2250</v>
      </c>
      <c r="F1971" s="675"/>
      <c r="G1971" s="672"/>
      <c r="H1971" s="676"/>
      <c r="Q1971" s="711"/>
      <c r="S1971" s="670"/>
    </row>
    <row r="1972" spans="1:20">
      <c r="A1972" s="679">
        <v>7342239</v>
      </c>
      <c r="B1972" s="677"/>
      <c r="C1972" s="672"/>
      <c r="D1972" s="672"/>
      <c r="E1972" s="676" t="s">
        <v>2251</v>
      </c>
      <c r="F1972" s="680" t="s">
        <v>2804</v>
      </c>
      <c r="G1972" s="710">
        <v>734</v>
      </c>
      <c r="H1972" s="682">
        <v>2239</v>
      </c>
      <c r="J1972" s="668" t="str">
        <f t="shared" ref="J1972:J1975" si="342">E1972</f>
        <v>(a) Technology-Related Hardware</v>
      </c>
      <c r="L1972" s="668">
        <v>131</v>
      </c>
      <c r="M1972" s="669">
        <v>122</v>
      </c>
      <c r="N1972" s="668"/>
      <c r="O1972" s="668">
        <v>14</v>
      </c>
      <c r="P1972" s="668" t="str">
        <f>IFERROR(VLOOKUP(F1972, [2]MOE!B:C, 2, FALSE), "No")</f>
        <v>No</v>
      </c>
      <c r="Q1972" s="711"/>
      <c r="S1972" s="670" t="s">
        <v>2789</v>
      </c>
      <c r="T1972" s="668" t="s">
        <v>1053</v>
      </c>
    </row>
    <row r="1973" spans="1:20">
      <c r="A1973" s="679">
        <v>7352239</v>
      </c>
      <c r="B1973" s="677"/>
      <c r="C1973" s="672"/>
      <c r="D1973" s="672"/>
      <c r="E1973" s="676" t="s">
        <v>2253</v>
      </c>
      <c r="F1973" s="680" t="s">
        <v>2805</v>
      </c>
      <c r="G1973" s="710">
        <v>735</v>
      </c>
      <c r="H1973" s="682">
        <v>2239</v>
      </c>
      <c r="J1973" s="668" t="str">
        <f t="shared" si="342"/>
        <v>(b) Technology Software</v>
      </c>
      <c r="L1973" s="668">
        <v>131</v>
      </c>
      <c r="M1973" s="669">
        <v>122</v>
      </c>
      <c r="N1973" s="668"/>
      <c r="O1973" s="668">
        <v>14</v>
      </c>
      <c r="P1973" s="668" t="str">
        <f>IFERROR(VLOOKUP(F1973, [2]MOE!B:C, 2, FALSE), "No")</f>
        <v>No</v>
      </c>
      <c r="Q1973" s="711"/>
      <c r="S1973" s="670" t="s">
        <v>2789</v>
      </c>
      <c r="T1973" s="668" t="s">
        <v>1055</v>
      </c>
    </row>
    <row r="1974" spans="1:20">
      <c r="A1974" s="679">
        <v>7302239</v>
      </c>
      <c r="B1974" s="677"/>
      <c r="C1974" s="672"/>
      <c r="D1974" s="672"/>
      <c r="E1974" s="676" t="s">
        <v>2255</v>
      </c>
      <c r="F1974" s="680" t="s">
        <v>2806</v>
      </c>
      <c r="G1974" s="710">
        <v>730</v>
      </c>
      <c r="H1974" s="682">
        <v>2239</v>
      </c>
      <c r="J1974" s="668" t="str">
        <f t="shared" si="342"/>
        <v>(c) All Other Equipment</v>
      </c>
      <c r="L1974" s="668">
        <v>131</v>
      </c>
      <c r="M1974" s="669">
        <v>122</v>
      </c>
      <c r="N1974" s="668"/>
      <c r="O1974" s="668">
        <v>14</v>
      </c>
      <c r="P1974" s="668" t="str">
        <f>IFERROR(VLOOKUP(F1974, [2]MOE!B:C, 2, FALSE), "No")</f>
        <v>No</v>
      </c>
      <c r="Q1974" s="711"/>
      <c r="S1974" s="670" t="s">
        <v>2789</v>
      </c>
      <c r="T1974" s="668" t="s">
        <v>1057</v>
      </c>
    </row>
    <row r="1975" spans="1:20">
      <c r="A1975" s="679">
        <v>7002239</v>
      </c>
      <c r="B1975" s="677"/>
      <c r="C1975" s="672"/>
      <c r="D1975" s="672"/>
      <c r="E1975" s="676" t="s">
        <v>2257</v>
      </c>
      <c r="F1975" s="680" t="s">
        <v>2807</v>
      </c>
      <c r="G1975" s="710">
        <v>700</v>
      </c>
      <c r="H1975" s="682">
        <v>2239</v>
      </c>
      <c r="J1975" s="668" t="str">
        <f t="shared" si="342"/>
        <v>(d) Other Property</v>
      </c>
      <c r="L1975" s="668">
        <v>132</v>
      </c>
      <c r="M1975" s="669">
        <v>123</v>
      </c>
      <c r="N1975" s="668"/>
      <c r="O1975" s="668">
        <v>14</v>
      </c>
      <c r="P1975" s="668" t="str">
        <f>IFERROR(VLOOKUP(F1975, [2]MOE!B:C, 2, FALSE), "No")</f>
        <v>No</v>
      </c>
      <c r="Q1975" s="711"/>
      <c r="S1975" s="670" t="s">
        <v>2789</v>
      </c>
      <c r="T1975" s="668" t="s">
        <v>1059</v>
      </c>
    </row>
    <row r="1976" spans="1:20">
      <c r="A1976" s="671"/>
      <c r="B1976" s="677"/>
      <c r="C1976" s="672"/>
      <c r="D1976" s="672"/>
      <c r="E1976" s="676" t="s">
        <v>2259</v>
      </c>
      <c r="F1976" s="675"/>
      <c r="G1976" s="672"/>
      <c r="H1976" s="676"/>
      <c r="Q1976" s="711"/>
      <c r="S1976" s="670"/>
    </row>
    <row r="1977" spans="1:20">
      <c r="A1977" s="679">
        <v>8952239</v>
      </c>
      <c r="B1977" s="677"/>
      <c r="C1977" s="672"/>
      <c r="D1977" s="672"/>
      <c r="E1977" s="676" t="s">
        <v>2260</v>
      </c>
      <c r="F1977" s="680" t="s">
        <v>2808</v>
      </c>
      <c r="G1977" s="710">
        <v>895</v>
      </c>
      <c r="H1977" s="682">
        <v>2239</v>
      </c>
      <c r="J1977" s="668" t="str">
        <f t="shared" ref="J1977:J1978" si="343">E1977</f>
        <v>(a) Misc. Non-Public Expenditures</v>
      </c>
      <c r="L1977" s="668">
        <v>139</v>
      </c>
      <c r="M1977" s="669">
        <v>129</v>
      </c>
      <c r="N1977" s="668"/>
      <c r="O1977" s="668">
        <v>14</v>
      </c>
      <c r="P1977" s="668" t="str">
        <f>IFERROR(VLOOKUP(F1977, [2]MOE!B:C, 2, FALSE), "No")</f>
        <v>No</v>
      </c>
      <c r="Q1977" s="711"/>
      <c r="S1977" s="670" t="s">
        <v>2789</v>
      </c>
      <c r="T1977" s="668" t="s">
        <v>2262</v>
      </c>
    </row>
    <row r="1978" spans="1:20">
      <c r="A1978" s="679">
        <v>8002239</v>
      </c>
      <c r="B1978" s="677"/>
      <c r="C1978" s="672"/>
      <c r="D1978" s="672"/>
      <c r="E1978" s="676" t="s">
        <v>2263</v>
      </c>
      <c r="F1978" s="680" t="s">
        <v>2809</v>
      </c>
      <c r="G1978" s="710">
        <v>800</v>
      </c>
      <c r="H1978" s="682">
        <v>2239</v>
      </c>
      <c r="J1978" s="668" t="str">
        <f t="shared" si="343"/>
        <v>(b) Other Miscellaneous Expenditures</v>
      </c>
      <c r="L1978" s="668">
        <v>139</v>
      </c>
      <c r="M1978" s="669">
        <v>129</v>
      </c>
      <c r="N1978" s="668"/>
      <c r="O1978" s="668">
        <v>14</v>
      </c>
      <c r="P1978" s="668" t="str">
        <f>IFERROR(VLOOKUP(F1978, [2]MOE!B:C, 2, FALSE), "No")</f>
        <v>No</v>
      </c>
      <c r="Q1978" s="711"/>
      <c r="S1978" s="670" t="s">
        <v>2789</v>
      </c>
      <c r="T1978" s="668" t="s">
        <v>1063</v>
      </c>
    </row>
    <row r="1979" spans="1:20">
      <c r="A1979" s="671"/>
      <c r="B1979" s="677"/>
      <c r="C1979" s="672"/>
      <c r="D1979" s="672"/>
      <c r="E1979" s="676" t="s">
        <v>2265</v>
      </c>
      <c r="F1979" s="675"/>
      <c r="G1979" s="672"/>
      <c r="H1979" s="676"/>
      <c r="Q1979" s="711"/>
      <c r="S1979" s="670"/>
    </row>
    <row r="1980" spans="1:20">
      <c r="A1980" s="679">
        <v>2102239</v>
      </c>
      <c r="B1980" s="677"/>
      <c r="C1980" s="672"/>
      <c r="D1980" s="672"/>
      <c r="E1980" s="676" t="s">
        <v>2266</v>
      </c>
      <c r="F1980" s="680" t="s">
        <v>2810</v>
      </c>
      <c r="G1980" s="710">
        <v>210</v>
      </c>
      <c r="H1980" s="682">
        <v>2239</v>
      </c>
      <c r="J1980" s="668" t="str">
        <f t="shared" ref="J1980:J1982" si="344">E1980</f>
        <v>(a) Group Insurance</v>
      </c>
      <c r="L1980" s="668">
        <v>89</v>
      </c>
      <c r="M1980" s="669">
        <v>84</v>
      </c>
      <c r="N1980" s="668"/>
      <c r="O1980" s="668">
        <v>14</v>
      </c>
      <c r="P1980" s="668" t="str">
        <f>IFERROR(VLOOKUP(F1980, [2]MOE!B:C, 2, FALSE), "No")</f>
        <v>No</v>
      </c>
      <c r="Q1980" s="711" t="s">
        <v>1004</v>
      </c>
      <c r="S1980" s="670" t="s">
        <v>2789</v>
      </c>
      <c r="T1980" s="668" t="s">
        <v>1066</v>
      </c>
    </row>
    <row r="1981" spans="1:20">
      <c r="A1981" s="679">
        <v>2202239</v>
      </c>
      <c r="B1981" s="677"/>
      <c r="C1981" s="672"/>
      <c r="D1981" s="672"/>
      <c r="E1981" s="676" t="s">
        <v>2268</v>
      </c>
      <c r="F1981" s="680" t="s">
        <v>2811</v>
      </c>
      <c r="G1981" s="710">
        <v>220</v>
      </c>
      <c r="H1981" s="682">
        <v>2239</v>
      </c>
      <c r="J1981" s="668" t="str">
        <f t="shared" si="344"/>
        <v>(b) FICA</v>
      </c>
      <c r="L1981" s="668">
        <v>90</v>
      </c>
      <c r="M1981" s="669">
        <v>85</v>
      </c>
      <c r="N1981" s="668"/>
      <c r="O1981" s="668">
        <v>14</v>
      </c>
      <c r="P1981" s="668" t="str">
        <f>IFERROR(VLOOKUP(F1981, [2]MOE!B:C, 2, FALSE), "No")</f>
        <v>No</v>
      </c>
      <c r="Q1981" s="711" t="s">
        <v>1004</v>
      </c>
      <c r="S1981" s="670" t="s">
        <v>2789</v>
      </c>
      <c r="T1981" s="668" t="s">
        <v>1068</v>
      </c>
    </row>
    <row r="1982" spans="1:20">
      <c r="A1982" s="679">
        <v>2252239</v>
      </c>
      <c r="B1982" s="677"/>
      <c r="C1982" s="672"/>
      <c r="D1982" s="672"/>
      <c r="E1982" s="676" t="s">
        <v>2270</v>
      </c>
      <c r="F1982" s="680" t="s">
        <v>2812</v>
      </c>
      <c r="G1982" s="710">
        <v>225</v>
      </c>
      <c r="H1982" s="682">
        <v>2239</v>
      </c>
      <c r="J1982" s="668" t="str">
        <f t="shared" si="344"/>
        <v>(c) Medicare</v>
      </c>
      <c r="L1982" s="668">
        <v>91</v>
      </c>
      <c r="M1982" s="669">
        <v>86</v>
      </c>
      <c r="N1982" s="668"/>
      <c r="O1982" s="668">
        <v>14</v>
      </c>
      <c r="P1982" s="668" t="str">
        <f>IFERROR(VLOOKUP(F1982, [2]MOE!B:C, 2, FALSE), "No")</f>
        <v>No</v>
      </c>
      <c r="Q1982" s="711" t="s">
        <v>1004</v>
      </c>
      <c r="S1982" s="670" t="s">
        <v>2789</v>
      </c>
      <c r="T1982" s="668" t="s">
        <v>23</v>
      </c>
    </row>
    <row r="1983" spans="1:20">
      <c r="A1983" s="671"/>
      <c r="B1983" s="677"/>
      <c r="C1983" s="672"/>
      <c r="D1983" s="672"/>
      <c r="E1983" s="676" t="s">
        <v>2272</v>
      </c>
      <c r="F1983" s="675"/>
      <c r="G1983" s="672"/>
      <c r="H1983" s="676"/>
      <c r="Q1983" s="711"/>
      <c r="S1983" s="670"/>
    </row>
    <row r="1984" spans="1:20">
      <c r="A1984" s="679">
        <v>2312239</v>
      </c>
      <c r="B1984" s="677"/>
      <c r="C1984" s="672"/>
      <c r="D1984" s="672"/>
      <c r="E1984" s="676" t="s">
        <v>2273</v>
      </c>
      <c r="F1984" s="680" t="s">
        <v>2813</v>
      </c>
      <c r="G1984" s="710">
        <v>231</v>
      </c>
      <c r="H1984" s="682">
        <v>2239</v>
      </c>
      <c r="J1984" s="668" t="str">
        <f t="shared" ref="J1984:J1993" si="345">E1984</f>
        <v>1) Louisiana Teachers Retirement</v>
      </c>
      <c r="L1984" s="668">
        <v>92</v>
      </c>
      <c r="M1984" s="669">
        <v>87</v>
      </c>
      <c r="N1984" s="668"/>
      <c r="O1984" s="668">
        <v>14</v>
      </c>
      <c r="P1984" s="668" t="str">
        <f>IFERROR(VLOOKUP(F1984, [2]MOE!B:C, 2, FALSE), "No")</f>
        <v>No</v>
      </c>
      <c r="Q1984" s="711" t="s">
        <v>1004</v>
      </c>
      <c r="S1984" s="670" t="s">
        <v>2789</v>
      </c>
      <c r="T1984" s="668" t="s">
        <v>1074</v>
      </c>
    </row>
    <row r="1985" spans="1:20">
      <c r="A1985" s="679">
        <v>2332239</v>
      </c>
      <c r="B1985" s="677"/>
      <c r="C1985" s="672"/>
      <c r="D1985" s="672"/>
      <c r="E1985" s="676" t="s">
        <v>2275</v>
      </c>
      <c r="F1985" s="680" t="s">
        <v>2814</v>
      </c>
      <c r="G1985" s="710">
        <v>233</v>
      </c>
      <c r="H1985" s="682">
        <v>2239</v>
      </c>
      <c r="J1985" s="668" t="str">
        <f t="shared" si="345"/>
        <v>2) Louisiana School Emp. Retire.</v>
      </c>
      <c r="L1985" s="668">
        <v>92</v>
      </c>
      <c r="M1985" s="669">
        <v>87</v>
      </c>
      <c r="N1985" s="668"/>
      <c r="O1985" s="668">
        <v>14</v>
      </c>
      <c r="P1985" s="668" t="str">
        <f>IFERROR(VLOOKUP(F1985, [2]MOE!B:C, 2, FALSE), "No")</f>
        <v>No</v>
      </c>
      <c r="Q1985" s="711" t="s">
        <v>1004</v>
      </c>
      <c r="S1985" s="670" t="s">
        <v>2789</v>
      </c>
      <c r="T1985" s="668" t="s">
        <v>2277</v>
      </c>
    </row>
    <row r="1986" spans="1:20">
      <c r="A1986" s="679">
        <v>2392239</v>
      </c>
      <c r="B1986" s="677"/>
      <c r="C1986" s="672"/>
      <c r="D1986" s="672"/>
      <c r="E1986" s="676" t="s">
        <v>2278</v>
      </c>
      <c r="F1986" s="680" t="s">
        <v>2815</v>
      </c>
      <c r="G1986" s="710">
        <v>239</v>
      </c>
      <c r="H1986" s="682">
        <v>2239</v>
      </c>
      <c r="J1986" s="668" t="str">
        <f t="shared" si="345"/>
        <v>3) Other Retirement</v>
      </c>
      <c r="L1986" s="668">
        <v>92</v>
      </c>
      <c r="M1986" s="669">
        <v>87</v>
      </c>
      <c r="N1986" s="668"/>
      <c r="O1986" s="668">
        <v>14</v>
      </c>
      <c r="P1986" s="668" t="str">
        <f>IFERROR(VLOOKUP(F1986, [2]MOE!B:C, 2, FALSE), "No")</f>
        <v>No</v>
      </c>
      <c r="Q1986" s="711" t="s">
        <v>1004</v>
      </c>
      <c r="S1986" s="670" t="s">
        <v>2789</v>
      </c>
      <c r="T1986" s="668" t="s">
        <v>1080</v>
      </c>
    </row>
    <row r="1987" spans="1:20">
      <c r="A1987" s="679">
        <v>2402239</v>
      </c>
      <c r="B1987" s="677"/>
      <c r="C1987" s="672"/>
      <c r="D1987" s="672"/>
      <c r="E1987" s="676" t="s">
        <v>2587</v>
      </c>
      <c r="F1987" s="680" t="s">
        <v>2816</v>
      </c>
      <c r="G1987" s="710">
        <v>240</v>
      </c>
      <c r="H1987" s="682">
        <v>2239</v>
      </c>
      <c r="J1987" s="668" t="str">
        <f t="shared" si="345"/>
        <v>(e) Educational Reimbursement</v>
      </c>
      <c r="L1987" s="668">
        <v>95</v>
      </c>
      <c r="M1987" s="669">
        <v>90</v>
      </c>
      <c r="N1987" s="668"/>
      <c r="O1987" s="668">
        <v>14</v>
      </c>
      <c r="P1987" s="668" t="str">
        <f>IFERROR(VLOOKUP(F1987, [2]MOE!B:C, 2, FALSE), "No")</f>
        <v>No</v>
      </c>
      <c r="Q1987" s="711" t="s">
        <v>1004</v>
      </c>
      <c r="S1987" s="670" t="s">
        <v>2789</v>
      </c>
      <c r="T1987" s="668" t="s">
        <v>2589</v>
      </c>
    </row>
    <row r="1988" spans="1:20">
      <c r="A1988" s="679">
        <v>2502239</v>
      </c>
      <c r="B1988" s="677"/>
      <c r="C1988" s="672"/>
      <c r="D1988" s="672"/>
      <c r="E1988" s="676" t="s">
        <v>2590</v>
      </c>
      <c r="F1988" s="680" t="s">
        <v>2817</v>
      </c>
      <c r="G1988" s="710">
        <v>250</v>
      </c>
      <c r="H1988" s="682">
        <v>2239</v>
      </c>
      <c r="J1988" s="668" t="str">
        <f t="shared" si="345"/>
        <v>(f) Unemployment Compensation</v>
      </c>
      <c r="L1988" s="668">
        <v>93</v>
      </c>
      <c r="M1988" s="669">
        <v>88</v>
      </c>
      <c r="N1988" s="668"/>
      <c r="O1988" s="668">
        <v>14</v>
      </c>
      <c r="P1988" s="668" t="str">
        <f>IFERROR(VLOOKUP(F1988, [2]MOE!B:C, 2, FALSE), "No")</f>
        <v>No</v>
      </c>
      <c r="Q1988" s="711" t="s">
        <v>1004</v>
      </c>
      <c r="S1988" s="670" t="s">
        <v>2789</v>
      </c>
      <c r="T1988" s="668" t="s">
        <v>1081</v>
      </c>
    </row>
    <row r="1989" spans="1:20">
      <c r="A1989" s="679">
        <v>2602239</v>
      </c>
      <c r="B1989" s="677"/>
      <c r="C1989" s="672"/>
      <c r="D1989" s="672"/>
      <c r="E1989" s="676" t="s">
        <v>2592</v>
      </c>
      <c r="F1989" s="680" t="s">
        <v>2818</v>
      </c>
      <c r="G1989" s="710">
        <v>260</v>
      </c>
      <c r="H1989" s="682">
        <v>2239</v>
      </c>
      <c r="J1989" s="668" t="str">
        <f t="shared" si="345"/>
        <v>(g) Workmen's Compensation</v>
      </c>
      <c r="L1989" s="668">
        <v>95</v>
      </c>
      <c r="M1989" s="669">
        <v>90</v>
      </c>
      <c r="N1989" s="668"/>
      <c r="O1989" s="668">
        <v>14</v>
      </c>
      <c r="P1989" s="668" t="str">
        <f>IFERROR(VLOOKUP(F1989, [2]MOE!B:C, 2, FALSE), "No")</f>
        <v>No</v>
      </c>
      <c r="Q1989" s="711" t="s">
        <v>1004</v>
      </c>
      <c r="S1989" s="670" t="s">
        <v>2789</v>
      </c>
      <c r="T1989" s="668" t="s">
        <v>1083</v>
      </c>
    </row>
    <row r="1990" spans="1:20">
      <c r="A1990" s="679">
        <v>2702239</v>
      </c>
      <c r="B1990" s="677"/>
      <c r="C1990" s="672"/>
      <c r="D1990" s="672"/>
      <c r="E1990" s="676" t="s">
        <v>2594</v>
      </c>
      <c r="F1990" s="680" t="s">
        <v>2819</v>
      </c>
      <c r="G1990" s="710">
        <v>270</v>
      </c>
      <c r="H1990" s="682">
        <v>2239</v>
      </c>
      <c r="J1990" s="668" t="str">
        <f t="shared" si="345"/>
        <v>(h) Health Benefits (retirees)</v>
      </c>
      <c r="L1990" s="668">
        <v>94</v>
      </c>
      <c r="M1990" s="669">
        <v>89</v>
      </c>
      <c r="N1990" s="668"/>
      <c r="O1990" s="668">
        <v>14</v>
      </c>
      <c r="P1990" s="668" t="str">
        <f>IFERROR(VLOOKUP(F1990, [2]MOE!B:C, 2, FALSE), "No")</f>
        <v>No</v>
      </c>
      <c r="Q1990" s="711" t="s">
        <v>1004</v>
      </c>
      <c r="S1990" s="670" t="s">
        <v>2789</v>
      </c>
      <c r="T1990" s="668" t="s">
        <v>1085</v>
      </c>
    </row>
    <row r="1991" spans="1:20">
      <c r="A1991" s="679">
        <v>2812239</v>
      </c>
      <c r="B1991" s="677"/>
      <c r="C1991" s="672"/>
      <c r="D1991" s="672"/>
      <c r="E1991" s="676" t="s">
        <v>2596</v>
      </c>
      <c r="F1991" s="680" t="s">
        <v>2820</v>
      </c>
      <c r="G1991" s="710">
        <v>281</v>
      </c>
      <c r="H1991" s="682">
        <v>2239</v>
      </c>
      <c r="J1991" s="668" t="str">
        <f t="shared" si="345"/>
        <v>(i) Sick Leave Severance Pay</v>
      </c>
      <c r="L1991" s="668">
        <v>95</v>
      </c>
      <c r="M1991" s="669">
        <v>90</v>
      </c>
      <c r="N1991" s="668"/>
      <c r="O1991" s="668">
        <v>14</v>
      </c>
      <c r="P1991" s="668" t="str">
        <f>IFERROR(VLOOKUP(F1991, [2]MOE!B:C, 2, FALSE), "No")</f>
        <v>No</v>
      </c>
      <c r="Q1991" s="711" t="s">
        <v>1004</v>
      </c>
      <c r="S1991" s="670" t="s">
        <v>2789</v>
      </c>
      <c r="T1991" s="668" t="s">
        <v>1087</v>
      </c>
    </row>
    <row r="1992" spans="1:20">
      <c r="A1992" s="679">
        <v>2822239</v>
      </c>
      <c r="B1992" s="677"/>
      <c r="C1992" s="672"/>
      <c r="D1992" s="672"/>
      <c r="E1992" s="676" t="s">
        <v>2598</v>
      </c>
      <c r="F1992" s="680" t="s">
        <v>2821</v>
      </c>
      <c r="G1992" s="710">
        <v>282</v>
      </c>
      <c r="H1992" s="682">
        <v>2239</v>
      </c>
      <c r="J1992" s="668" t="str">
        <f t="shared" si="345"/>
        <v>(j) Annual Leave Severance Pay</v>
      </c>
      <c r="L1992" s="668">
        <v>95</v>
      </c>
      <c r="M1992" s="669">
        <v>90</v>
      </c>
      <c r="N1992" s="668"/>
      <c r="O1992" s="668">
        <v>14</v>
      </c>
      <c r="P1992" s="668" t="str">
        <f>IFERROR(VLOOKUP(F1992, [2]MOE!B:C, 2, FALSE), "No")</f>
        <v>No</v>
      </c>
      <c r="Q1992" s="711" t="s">
        <v>1004</v>
      </c>
      <c r="S1992" s="670" t="s">
        <v>2789</v>
      </c>
      <c r="T1992" s="668" t="s">
        <v>1089</v>
      </c>
    </row>
    <row r="1993" spans="1:20">
      <c r="A1993" s="679">
        <v>2902239</v>
      </c>
      <c r="B1993" s="677"/>
      <c r="C1993" s="672"/>
      <c r="D1993" s="672"/>
      <c r="E1993" s="676" t="s">
        <v>2600</v>
      </c>
      <c r="F1993" s="680" t="s">
        <v>2822</v>
      </c>
      <c r="G1993" s="710">
        <v>290</v>
      </c>
      <c r="H1993" s="682">
        <v>2239</v>
      </c>
      <c r="J1993" s="668" t="str">
        <f t="shared" si="345"/>
        <v>(k) Other Employee Benefits</v>
      </c>
      <c r="L1993" s="668">
        <v>95</v>
      </c>
      <c r="M1993" s="669">
        <v>90</v>
      </c>
      <c r="N1993" s="668"/>
      <c r="O1993" s="668">
        <v>14</v>
      </c>
      <c r="P1993" s="668" t="str">
        <f>IFERROR(VLOOKUP(F1993, [2]MOE!B:C, 2, FALSE), "No")</f>
        <v>No</v>
      </c>
      <c r="Q1993" s="711" t="s">
        <v>1004</v>
      </c>
      <c r="S1993" s="670" t="s">
        <v>2789</v>
      </c>
      <c r="T1993" s="668" t="s">
        <v>1092</v>
      </c>
    </row>
    <row r="1994" spans="1:20">
      <c r="A1994" s="671"/>
      <c r="B1994" s="677"/>
      <c r="C1994" s="678">
        <v>58</v>
      </c>
      <c r="D1994" s="925" t="s">
        <v>2823</v>
      </c>
      <c r="E1994" s="926"/>
      <c r="F1994" s="675"/>
      <c r="G1994" s="672"/>
      <c r="H1994" s="676"/>
      <c r="Q1994" s="711"/>
      <c r="S1994" s="670"/>
    </row>
    <row r="1995" spans="1:20">
      <c r="A1995" s="671"/>
      <c r="B1995" s="677"/>
      <c r="C1995" s="672"/>
      <c r="D1995" s="672" t="s">
        <v>759</v>
      </c>
      <c r="E1995" s="676" t="s">
        <v>2824</v>
      </c>
      <c r="F1995" s="675"/>
      <c r="G1995" s="672"/>
      <c r="H1995" s="676"/>
      <c r="Q1995" s="711"/>
      <c r="S1995" s="670"/>
    </row>
    <row r="1996" spans="1:20">
      <c r="A1996" s="671"/>
      <c r="B1996" s="677"/>
      <c r="C1996" s="672"/>
      <c r="D1996" s="672"/>
      <c r="E1996" s="676" t="s">
        <v>2679</v>
      </c>
      <c r="F1996" s="675"/>
      <c r="G1996" s="672"/>
      <c r="H1996" s="676"/>
      <c r="Q1996" s="711"/>
      <c r="S1996" s="670"/>
    </row>
    <row r="1997" spans="1:20">
      <c r="A1997" s="679">
        <v>1112251</v>
      </c>
      <c r="B1997" s="677"/>
      <c r="C1997" s="672"/>
      <c r="D1997" s="672"/>
      <c r="E1997" s="676" t="s">
        <v>2825</v>
      </c>
      <c r="F1997" s="680" t="s">
        <v>2826</v>
      </c>
      <c r="G1997" s="710">
        <v>111</v>
      </c>
      <c r="H1997" s="682">
        <v>2251</v>
      </c>
      <c r="J1997" s="668" t="str">
        <f t="shared" ref="J1997:J2004" si="346">E1997</f>
        <v>(a) Dir/Super. - Cen. Library Svcs</v>
      </c>
      <c r="L1997" s="668">
        <v>81</v>
      </c>
      <c r="M1997" s="669">
        <v>76</v>
      </c>
      <c r="N1997" s="668"/>
      <c r="O1997" s="668">
        <v>14</v>
      </c>
      <c r="P1997" s="668" t="str">
        <f>IFERROR(VLOOKUP(F1997, [2]MOE!B:C, 2, FALSE), "No")</f>
        <v>No</v>
      </c>
      <c r="Q1997" s="711" t="s">
        <v>1004</v>
      </c>
      <c r="S1997" s="670" t="s">
        <v>2827</v>
      </c>
      <c r="T1997" s="668" t="s">
        <v>2828</v>
      </c>
    </row>
    <row r="1998" spans="1:20">
      <c r="A1998" s="679">
        <v>1122252</v>
      </c>
      <c r="B1998" s="677"/>
      <c r="C1998" s="672"/>
      <c r="D1998" s="672"/>
      <c r="E1998" s="676" t="s">
        <v>2829</v>
      </c>
      <c r="F1998" s="680" t="s">
        <v>2830</v>
      </c>
      <c r="G1998" s="710">
        <v>112</v>
      </c>
      <c r="H1998" s="682">
        <v>2252</v>
      </c>
      <c r="J1998" s="668" t="str">
        <f t="shared" si="346"/>
        <v>(b) Head Librarian/Librarian - Sch.</v>
      </c>
      <c r="L1998" s="668">
        <v>82</v>
      </c>
      <c r="M1998" s="669">
        <v>77</v>
      </c>
      <c r="N1998" s="668"/>
      <c r="O1998" s="668">
        <v>14</v>
      </c>
      <c r="P1998" s="668" t="str">
        <f>IFERROR(VLOOKUP(F1998, [2]MOE!B:C, 2, FALSE), "No")</f>
        <v>No</v>
      </c>
      <c r="Q1998" s="711" t="s">
        <v>1004</v>
      </c>
      <c r="S1998" s="670" t="s">
        <v>2827</v>
      </c>
      <c r="T1998" s="668" t="s">
        <v>2831</v>
      </c>
    </row>
    <row r="1999" spans="1:20">
      <c r="A1999" s="679">
        <v>1132252</v>
      </c>
      <c r="B1999" s="677"/>
      <c r="C1999" s="672"/>
      <c r="D1999" s="672"/>
      <c r="E1999" s="676" t="s">
        <v>2832</v>
      </c>
      <c r="F1999" s="680" t="s">
        <v>2833</v>
      </c>
      <c r="G1999" s="710">
        <v>113</v>
      </c>
      <c r="H1999" s="682">
        <v>2252</v>
      </c>
      <c r="J1999" s="668" t="str">
        <f t="shared" si="346"/>
        <v>(c) Library Specialists</v>
      </c>
      <c r="L1999" s="668">
        <v>83</v>
      </c>
      <c r="M1999" s="669">
        <v>78</v>
      </c>
      <c r="N1999" s="668"/>
      <c r="O1999" s="668">
        <v>14</v>
      </c>
      <c r="P1999" s="668" t="str">
        <f>IFERROR(VLOOKUP(F1999, [2]MOE!B:C, 2, FALSE), "No")</f>
        <v>No</v>
      </c>
      <c r="Q1999" s="711" t="s">
        <v>1004</v>
      </c>
      <c r="S1999" s="670" t="s">
        <v>2827</v>
      </c>
      <c r="T1999" s="668" t="s">
        <v>2834</v>
      </c>
    </row>
    <row r="2000" spans="1:20">
      <c r="A2000" s="679">
        <v>1142252</v>
      </c>
      <c r="B2000" s="677"/>
      <c r="C2000" s="672"/>
      <c r="D2000" s="672"/>
      <c r="E2000" s="676" t="s">
        <v>2835</v>
      </c>
      <c r="F2000" s="680" t="s">
        <v>2836</v>
      </c>
      <c r="G2000" s="710">
        <v>114</v>
      </c>
      <c r="H2000" s="682">
        <v>2252</v>
      </c>
      <c r="J2000" s="668" t="str">
        <f t="shared" si="346"/>
        <v>(d) Clerical/Secretarial</v>
      </c>
      <c r="L2000" s="668">
        <v>84</v>
      </c>
      <c r="M2000" s="669">
        <v>79</v>
      </c>
      <c r="N2000" s="668"/>
      <c r="O2000" s="668">
        <v>14</v>
      </c>
      <c r="P2000" s="668" t="str">
        <f>IFERROR(VLOOKUP(F2000, [2]MOE!B:C, 2, FALSE), "No")</f>
        <v>No</v>
      </c>
      <c r="Q2000" s="711" t="s">
        <v>1004</v>
      </c>
      <c r="S2000" s="670" t="s">
        <v>2827</v>
      </c>
      <c r="T2000" s="668" t="s">
        <v>1854</v>
      </c>
    </row>
    <row r="2001" spans="1:20">
      <c r="A2001" s="679">
        <v>1152252</v>
      </c>
      <c r="B2001" s="677"/>
      <c r="C2001" s="672"/>
      <c r="D2001" s="672"/>
      <c r="E2001" s="676" t="s">
        <v>2837</v>
      </c>
      <c r="F2001" s="680" t="s">
        <v>2838</v>
      </c>
      <c r="G2001" s="710">
        <v>115</v>
      </c>
      <c r="H2001" s="682">
        <v>2252</v>
      </c>
      <c r="J2001" s="668" t="str">
        <f t="shared" si="346"/>
        <v>(e) Library/Media Aides</v>
      </c>
      <c r="L2001" s="668">
        <v>86</v>
      </c>
      <c r="M2001" s="669">
        <v>81</v>
      </c>
      <c r="N2001" s="668"/>
      <c r="O2001" s="668">
        <v>14</v>
      </c>
      <c r="P2001" s="668" t="str">
        <f>IFERROR(VLOOKUP(F2001, [2]MOE!B:C, 2, FALSE), "No")</f>
        <v>No</v>
      </c>
      <c r="Q2001" s="711" t="s">
        <v>1004</v>
      </c>
      <c r="S2001" s="670" t="s">
        <v>2827</v>
      </c>
      <c r="T2001" s="668" t="s">
        <v>2839</v>
      </c>
    </row>
    <row r="2002" spans="1:20">
      <c r="A2002" s="679">
        <v>1002252</v>
      </c>
      <c r="B2002" s="677"/>
      <c r="C2002" s="672"/>
      <c r="D2002" s="672"/>
      <c r="E2002" s="676" t="s">
        <v>2840</v>
      </c>
      <c r="F2002" s="680" t="s">
        <v>2841</v>
      </c>
      <c r="G2002" s="710">
        <v>100</v>
      </c>
      <c r="H2002" s="682">
        <v>2252</v>
      </c>
      <c r="J2002" s="668" t="str">
        <f t="shared" si="346"/>
        <v>(f) Other Salaries</v>
      </c>
      <c r="L2002" s="668">
        <v>86</v>
      </c>
      <c r="M2002" s="669">
        <v>81</v>
      </c>
      <c r="N2002" s="668"/>
      <c r="O2002" s="668">
        <v>14</v>
      </c>
      <c r="P2002" s="668" t="str">
        <f>IFERROR(VLOOKUP(F2002, [2]MOE!B:C, 2, FALSE), "No")</f>
        <v>No</v>
      </c>
      <c r="Q2002" s="711" t="s">
        <v>1004</v>
      </c>
      <c r="S2002" s="670" t="s">
        <v>2827</v>
      </c>
      <c r="T2002" s="668" t="s">
        <v>1947</v>
      </c>
    </row>
    <row r="2003" spans="1:20">
      <c r="A2003" s="679">
        <v>1402252</v>
      </c>
      <c r="B2003" s="677"/>
      <c r="C2003" s="672"/>
      <c r="D2003" s="672"/>
      <c r="E2003" s="676" t="s">
        <v>2842</v>
      </c>
      <c r="F2003" s="680" t="s">
        <v>2843</v>
      </c>
      <c r="G2003" s="710">
        <v>140</v>
      </c>
      <c r="H2003" s="682">
        <v>2252</v>
      </c>
      <c r="J2003" s="668" t="str">
        <f t="shared" si="346"/>
        <v>(g) Sabbatical Leave</v>
      </c>
      <c r="L2003" s="668">
        <v>86</v>
      </c>
      <c r="M2003" s="669">
        <v>81</v>
      </c>
      <c r="N2003" s="668"/>
      <c r="O2003" s="668">
        <v>14</v>
      </c>
      <c r="P2003" s="668" t="str">
        <f>IFERROR(VLOOKUP(F2003, [2]MOE!B:C, 2, FALSE), "No")</f>
        <v>No</v>
      </c>
      <c r="Q2003" s="711" t="s">
        <v>1004</v>
      </c>
      <c r="S2003" s="670" t="s">
        <v>2827</v>
      </c>
      <c r="T2003" s="668" t="s">
        <v>1019</v>
      </c>
    </row>
    <row r="2004" spans="1:20">
      <c r="A2004" s="679">
        <v>3002252</v>
      </c>
      <c r="B2004" s="677"/>
      <c r="C2004" s="672"/>
      <c r="D2004" s="672"/>
      <c r="E2004" s="676" t="s">
        <v>2564</v>
      </c>
      <c r="F2004" s="680" t="s">
        <v>2844</v>
      </c>
      <c r="G2004" s="710">
        <v>300</v>
      </c>
      <c r="H2004" s="682">
        <v>2252</v>
      </c>
      <c r="J2004" s="668" t="str">
        <f t="shared" si="346"/>
        <v>(2) Purchased Professional and Tech Svcs</v>
      </c>
      <c r="L2004" s="668">
        <v>101</v>
      </c>
      <c r="M2004" s="669">
        <v>96</v>
      </c>
      <c r="N2004" s="668"/>
      <c r="O2004" s="668">
        <v>14</v>
      </c>
      <c r="P2004" s="668" t="str">
        <f>IFERROR(VLOOKUP(F2004, [2]MOE!B:C, 2, FALSE), "No")</f>
        <v>No</v>
      </c>
      <c r="Q2004" s="711"/>
      <c r="S2004" s="670" t="s">
        <v>2827</v>
      </c>
      <c r="T2004" s="668" t="s">
        <v>2566</v>
      </c>
    </row>
    <row r="2005" spans="1:20">
      <c r="A2005" s="671"/>
      <c r="B2005" s="677"/>
      <c r="C2005" s="672"/>
      <c r="D2005" s="672"/>
      <c r="E2005" s="676" t="s">
        <v>2231</v>
      </c>
      <c r="F2005" s="675"/>
      <c r="G2005" s="672"/>
      <c r="H2005" s="676"/>
      <c r="Q2005" s="711"/>
      <c r="S2005" s="670"/>
    </row>
    <row r="2006" spans="1:20">
      <c r="A2006" s="679">
        <v>4302252</v>
      </c>
      <c r="B2006" s="677"/>
      <c r="C2006" s="672"/>
      <c r="D2006" s="672"/>
      <c r="E2006" s="676" t="s">
        <v>2232</v>
      </c>
      <c r="F2006" s="680" t="s">
        <v>2845</v>
      </c>
      <c r="G2006" s="710">
        <v>430</v>
      </c>
      <c r="H2006" s="682">
        <v>2252</v>
      </c>
      <c r="J2006" s="668" t="str">
        <f t="shared" ref="J2006:J2008" si="347">E2006</f>
        <v>(a) Repairs and Maintenance Services</v>
      </c>
      <c r="L2006" s="668">
        <v>107</v>
      </c>
      <c r="M2006" s="669">
        <v>102</v>
      </c>
      <c r="N2006" s="668"/>
      <c r="O2006" s="668">
        <v>14</v>
      </c>
      <c r="P2006" s="668" t="str">
        <f>IFERROR(VLOOKUP(F2006, [2]MOE!B:C, 2, FALSE), "No")</f>
        <v>No</v>
      </c>
      <c r="Q2006" s="711"/>
      <c r="S2006" s="670" t="s">
        <v>2827</v>
      </c>
      <c r="T2006" s="668" t="s">
        <v>1023</v>
      </c>
    </row>
    <row r="2007" spans="1:20">
      <c r="A2007" s="679">
        <v>4422252</v>
      </c>
      <c r="B2007" s="677"/>
      <c r="C2007" s="672"/>
      <c r="D2007" s="672"/>
      <c r="E2007" s="676" t="s">
        <v>2234</v>
      </c>
      <c r="F2007" s="680" t="s">
        <v>2846</v>
      </c>
      <c r="G2007" s="710">
        <v>442</v>
      </c>
      <c r="H2007" s="682">
        <v>2252</v>
      </c>
      <c r="J2007" s="668" t="str">
        <f t="shared" si="347"/>
        <v>(b) Rental of Equipment</v>
      </c>
      <c r="L2007" s="668">
        <v>106</v>
      </c>
      <c r="M2007" s="669">
        <v>101</v>
      </c>
      <c r="N2007" s="668"/>
      <c r="O2007" s="668">
        <v>14</v>
      </c>
      <c r="P2007" s="668" t="str">
        <f>IFERROR(VLOOKUP(F2007, [2]MOE!B:C, 2, FALSE), "No")</f>
        <v>No</v>
      </c>
      <c r="Q2007" s="711"/>
      <c r="S2007" s="670" t="s">
        <v>2827</v>
      </c>
      <c r="T2007" s="668" t="s">
        <v>1025</v>
      </c>
    </row>
    <row r="2008" spans="1:20">
      <c r="A2008" s="679">
        <v>4002252</v>
      </c>
      <c r="B2008" s="677"/>
      <c r="C2008" s="672"/>
      <c r="D2008" s="672"/>
      <c r="E2008" s="676" t="s">
        <v>2236</v>
      </c>
      <c r="F2008" s="680" t="s">
        <v>2847</v>
      </c>
      <c r="G2008" s="710">
        <v>400</v>
      </c>
      <c r="H2008" s="682">
        <v>2252</v>
      </c>
      <c r="J2008" s="668" t="str">
        <f t="shared" si="347"/>
        <v>(c) Other Purchased Property Svcs</v>
      </c>
      <c r="L2008" s="668">
        <v>108</v>
      </c>
      <c r="M2008" s="669">
        <v>103</v>
      </c>
      <c r="N2008" s="668"/>
      <c r="O2008" s="668">
        <v>14</v>
      </c>
      <c r="P2008" s="668" t="str">
        <f>IFERROR(VLOOKUP(F2008, [2]MOE!B:C, 2, FALSE), "No")</f>
        <v>No</v>
      </c>
      <c r="Q2008" s="711"/>
      <c r="S2008" s="670" t="s">
        <v>2827</v>
      </c>
      <c r="T2008" s="668" t="s">
        <v>2238</v>
      </c>
    </row>
    <row r="2009" spans="1:20">
      <c r="A2009" s="671"/>
      <c r="B2009" s="677"/>
      <c r="C2009" s="672"/>
      <c r="D2009" s="672"/>
      <c r="E2009" s="676" t="s">
        <v>1395</v>
      </c>
      <c r="F2009" s="675"/>
      <c r="G2009" s="672"/>
      <c r="H2009" s="676"/>
      <c r="Q2009" s="711"/>
      <c r="S2009" s="670"/>
    </row>
    <row r="2010" spans="1:20">
      <c r="A2010" s="679">
        <v>5822252</v>
      </c>
      <c r="B2010" s="677"/>
      <c r="C2010" s="672"/>
      <c r="D2010" s="672"/>
      <c r="E2010" s="676" t="s">
        <v>2239</v>
      </c>
      <c r="F2010" s="680" t="s">
        <v>2848</v>
      </c>
      <c r="G2010" s="710">
        <v>582</v>
      </c>
      <c r="H2010" s="682">
        <v>2252</v>
      </c>
      <c r="J2010" s="668" t="str">
        <f t="shared" ref="J2010:J2011" si="348">E2010</f>
        <v>(a) Travel Expense Reimbursement</v>
      </c>
      <c r="L2010" s="668">
        <v>118</v>
      </c>
      <c r="M2010" s="669">
        <v>109</v>
      </c>
      <c r="N2010" s="668"/>
      <c r="O2010" s="668">
        <v>14</v>
      </c>
      <c r="P2010" s="668" t="str">
        <f>IFERROR(VLOOKUP(F2010, [2]MOE!B:C, 2, FALSE), "No")</f>
        <v>No</v>
      </c>
      <c r="Q2010" s="711"/>
      <c r="S2010" s="670" t="s">
        <v>2827</v>
      </c>
      <c r="T2010" s="668" t="s">
        <v>1039</v>
      </c>
    </row>
    <row r="2011" spans="1:20">
      <c r="A2011" s="679">
        <v>5002252</v>
      </c>
      <c r="B2011" s="677"/>
      <c r="C2011" s="672"/>
      <c r="D2011" s="672"/>
      <c r="E2011" s="676" t="s">
        <v>2241</v>
      </c>
      <c r="F2011" s="680" t="s">
        <v>2849</v>
      </c>
      <c r="G2011" s="710">
        <v>500</v>
      </c>
      <c r="H2011" s="682">
        <v>2252</v>
      </c>
      <c r="J2011" s="668" t="str">
        <f t="shared" si="348"/>
        <v>(b) Other Purchased Services</v>
      </c>
      <c r="L2011" s="668">
        <v>119</v>
      </c>
      <c r="M2011" s="669">
        <v>110</v>
      </c>
      <c r="N2011" s="668"/>
      <c r="O2011" s="668">
        <v>14</v>
      </c>
      <c r="P2011" s="668" t="str">
        <f>IFERROR(VLOOKUP(F2011, [2]MOE!B:C, 2, FALSE), "No")</f>
        <v>No</v>
      </c>
      <c r="Q2011" s="711"/>
      <c r="S2011" s="670" t="s">
        <v>2827</v>
      </c>
      <c r="T2011" s="668" t="s">
        <v>252</v>
      </c>
    </row>
    <row r="2012" spans="1:20">
      <c r="A2012" s="671"/>
      <c r="B2012" s="677"/>
      <c r="C2012" s="672"/>
      <c r="D2012" s="672"/>
      <c r="E2012" s="676" t="s">
        <v>2243</v>
      </c>
      <c r="F2012" s="675"/>
      <c r="G2012" s="672"/>
      <c r="H2012" s="676"/>
      <c r="Q2012" s="711"/>
      <c r="S2012" s="670"/>
    </row>
    <row r="2013" spans="1:20">
      <c r="A2013" s="679">
        <v>6152252</v>
      </c>
      <c r="B2013" s="677"/>
      <c r="C2013" s="672"/>
      <c r="D2013" s="672"/>
      <c r="E2013" s="676" t="s">
        <v>2244</v>
      </c>
      <c r="F2013" s="680" t="s">
        <v>2850</v>
      </c>
      <c r="G2013" s="710">
        <v>615</v>
      </c>
      <c r="H2013" s="682">
        <v>2252</v>
      </c>
      <c r="J2013" s="668" t="str">
        <f t="shared" ref="J2013:J2016" si="349">E2013</f>
        <v>(a) Technology-Related Supplies</v>
      </c>
      <c r="L2013" s="668">
        <v>126</v>
      </c>
      <c r="M2013" s="669">
        <v>117</v>
      </c>
      <c r="N2013" s="668"/>
      <c r="O2013" s="668">
        <v>14</v>
      </c>
      <c r="P2013" s="668" t="str">
        <f>IFERROR(VLOOKUP(F2013, [2]MOE!B:C, 2, FALSE), "No")</f>
        <v>No</v>
      </c>
      <c r="Q2013" s="711" t="s">
        <v>1045</v>
      </c>
      <c r="S2013" s="670" t="s">
        <v>2827</v>
      </c>
      <c r="T2013" s="668" t="s">
        <v>1043</v>
      </c>
    </row>
    <row r="2014" spans="1:20">
      <c r="A2014" s="679">
        <v>6102252</v>
      </c>
      <c r="B2014" s="677"/>
      <c r="C2014" s="672"/>
      <c r="D2014" s="672"/>
      <c r="E2014" s="676" t="s">
        <v>2246</v>
      </c>
      <c r="F2014" s="680" t="s">
        <v>2851</v>
      </c>
      <c r="G2014" s="710">
        <v>610</v>
      </c>
      <c r="H2014" s="682">
        <v>2252</v>
      </c>
      <c r="J2014" s="668" t="str">
        <f t="shared" si="349"/>
        <v>(b) Materials and Supplies</v>
      </c>
      <c r="L2014" s="668">
        <v>122</v>
      </c>
      <c r="M2014" s="669">
        <v>113</v>
      </c>
      <c r="N2014" s="668"/>
      <c r="O2014" s="668">
        <v>14</v>
      </c>
      <c r="P2014" s="668" t="str">
        <f>IFERROR(VLOOKUP(F2014, [2]MOE!B:C, 2, FALSE), "No")</f>
        <v>No</v>
      </c>
      <c r="Q2014" s="711" t="s">
        <v>1045</v>
      </c>
      <c r="S2014" s="670" t="s">
        <v>2827</v>
      </c>
      <c r="T2014" s="668" t="s">
        <v>39</v>
      </c>
    </row>
    <row r="2015" spans="1:20">
      <c r="A2015" s="679">
        <v>6402252</v>
      </c>
      <c r="B2015" s="677"/>
      <c r="C2015" s="672"/>
      <c r="D2015" s="672"/>
      <c r="E2015" s="676" t="s">
        <v>2852</v>
      </c>
      <c r="F2015" s="680" t="s">
        <v>2853</v>
      </c>
      <c r="G2015" s="710">
        <v>640</v>
      </c>
      <c r="H2015" s="682">
        <v>2252</v>
      </c>
      <c r="J2015" s="668" t="str">
        <f t="shared" si="349"/>
        <v>(c) Books and Periodicals</v>
      </c>
      <c r="L2015" s="668">
        <v>125</v>
      </c>
      <c r="M2015" s="669">
        <v>116</v>
      </c>
      <c r="N2015" s="668"/>
      <c r="O2015" s="668">
        <v>14</v>
      </c>
      <c r="P2015" s="668" t="str">
        <f>IFERROR(VLOOKUP(F2015, [2]MOE!B:C, 2, FALSE), "No")</f>
        <v>No</v>
      </c>
      <c r="Q2015" s="711" t="s">
        <v>1045</v>
      </c>
      <c r="S2015" s="670" t="s">
        <v>2827</v>
      </c>
      <c r="T2015" s="668" t="s">
        <v>2529</v>
      </c>
    </row>
    <row r="2016" spans="1:20">
      <c r="A2016" s="679">
        <v>6002252</v>
      </c>
      <c r="B2016" s="677"/>
      <c r="C2016" s="672"/>
      <c r="D2016" s="672"/>
      <c r="E2016" s="676" t="s">
        <v>2854</v>
      </c>
      <c r="F2016" s="680" t="s">
        <v>2855</v>
      </c>
      <c r="G2016" s="710">
        <v>600</v>
      </c>
      <c r="H2016" s="682">
        <v>2252</v>
      </c>
      <c r="J2016" s="668" t="str">
        <f t="shared" si="349"/>
        <v>(d) Other Supplies</v>
      </c>
      <c r="L2016" s="668">
        <v>126</v>
      </c>
      <c r="M2016" s="669">
        <v>117</v>
      </c>
      <c r="N2016" s="668"/>
      <c r="O2016" s="668">
        <v>14</v>
      </c>
      <c r="P2016" s="668" t="str">
        <f>IFERROR(VLOOKUP(F2016, [2]MOE!B:C, 2, FALSE), "No")</f>
        <v>No</v>
      </c>
      <c r="Q2016" s="711"/>
      <c r="S2016" s="670" t="s">
        <v>2827</v>
      </c>
      <c r="T2016" s="668" t="s">
        <v>1050</v>
      </c>
    </row>
    <row r="2017" spans="1:20">
      <c r="A2017" s="671"/>
      <c r="B2017" s="677"/>
      <c r="C2017" s="672"/>
      <c r="D2017" s="672"/>
      <c r="E2017" s="676" t="s">
        <v>2250</v>
      </c>
      <c r="F2017" s="675"/>
      <c r="G2017" s="672"/>
      <c r="H2017" s="676"/>
      <c r="Q2017" s="711"/>
      <c r="S2017" s="670"/>
    </row>
    <row r="2018" spans="1:20">
      <c r="A2018" s="679">
        <v>7342252</v>
      </c>
      <c r="B2018" s="677"/>
      <c r="C2018" s="672"/>
      <c r="D2018" s="672"/>
      <c r="E2018" s="676" t="s">
        <v>2251</v>
      </c>
      <c r="F2018" s="680" t="s">
        <v>2856</v>
      </c>
      <c r="G2018" s="710">
        <v>734</v>
      </c>
      <c r="H2018" s="682">
        <v>2252</v>
      </c>
      <c r="J2018" s="668" t="str">
        <f t="shared" ref="J2018:J2021" si="350">E2018</f>
        <v>(a) Technology-Related Hardware</v>
      </c>
      <c r="L2018" s="668">
        <v>131</v>
      </c>
      <c r="M2018" s="669">
        <v>122</v>
      </c>
      <c r="N2018" s="668"/>
      <c r="O2018" s="668">
        <v>14</v>
      </c>
      <c r="P2018" s="668" t="str">
        <f>IFERROR(VLOOKUP(F2018, [2]MOE!B:C, 2, FALSE), "No")</f>
        <v>No</v>
      </c>
      <c r="Q2018" s="711"/>
      <c r="S2018" s="670" t="s">
        <v>2827</v>
      </c>
      <c r="T2018" s="668" t="s">
        <v>1053</v>
      </c>
    </row>
    <row r="2019" spans="1:20">
      <c r="A2019" s="679">
        <v>7352252</v>
      </c>
      <c r="B2019" s="677"/>
      <c r="C2019" s="672"/>
      <c r="D2019" s="672"/>
      <c r="E2019" s="676" t="s">
        <v>2253</v>
      </c>
      <c r="F2019" s="680" t="s">
        <v>2857</v>
      </c>
      <c r="G2019" s="710">
        <v>735</v>
      </c>
      <c r="H2019" s="682">
        <v>2252</v>
      </c>
      <c r="J2019" s="668" t="str">
        <f t="shared" si="350"/>
        <v>(b) Technology Software</v>
      </c>
      <c r="L2019" s="668">
        <v>131</v>
      </c>
      <c r="M2019" s="669">
        <v>122</v>
      </c>
      <c r="N2019" s="668"/>
      <c r="O2019" s="668">
        <v>14</v>
      </c>
      <c r="P2019" s="668" t="str">
        <f>IFERROR(VLOOKUP(F2019, [2]MOE!B:C, 2, FALSE), "No")</f>
        <v>No</v>
      </c>
      <c r="Q2019" s="711"/>
      <c r="S2019" s="670" t="s">
        <v>2827</v>
      </c>
      <c r="T2019" s="668" t="s">
        <v>1055</v>
      </c>
    </row>
    <row r="2020" spans="1:20">
      <c r="A2020" s="679">
        <v>7302252</v>
      </c>
      <c r="B2020" s="677"/>
      <c r="C2020" s="672"/>
      <c r="D2020" s="672"/>
      <c r="E2020" s="676" t="s">
        <v>2255</v>
      </c>
      <c r="F2020" s="680" t="s">
        <v>2858</v>
      </c>
      <c r="G2020" s="710">
        <v>730</v>
      </c>
      <c r="H2020" s="682">
        <v>2252</v>
      </c>
      <c r="J2020" s="668" t="str">
        <f t="shared" si="350"/>
        <v>(c) All Other Equipment</v>
      </c>
      <c r="L2020" s="668">
        <v>131</v>
      </c>
      <c r="M2020" s="669">
        <v>122</v>
      </c>
      <c r="N2020" s="668"/>
      <c r="O2020" s="668">
        <v>14</v>
      </c>
      <c r="P2020" s="668" t="str">
        <f>IFERROR(VLOOKUP(F2020, [2]MOE!B:C, 2, FALSE), "No")</f>
        <v>No</v>
      </c>
      <c r="Q2020" s="711"/>
      <c r="S2020" s="670" t="s">
        <v>2827</v>
      </c>
      <c r="T2020" s="668" t="s">
        <v>1057</v>
      </c>
    </row>
    <row r="2021" spans="1:20">
      <c r="A2021" s="679">
        <v>7002252</v>
      </c>
      <c r="B2021" s="677"/>
      <c r="C2021" s="672"/>
      <c r="D2021" s="672"/>
      <c r="E2021" s="676" t="s">
        <v>2257</v>
      </c>
      <c r="F2021" s="680" t="s">
        <v>2859</v>
      </c>
      <c r="G2021" s="710">
        <v>700</v>
      </c>
      <c r="H2021" s="682">
        <v>2252</v>
      </c>
      <c r="J2021" s="668" t="str">
        <f t="shared" si="350"/>
        <v>(d) Other Property</v>
      </c>
      <c r="L2021" s="668">
        <v>132</v>
      </c>
      <c r="M2021" s="669">
        <v>123</v>
      </c>
      <c r="N2021" s="668"/>
      <c r="O2021" s="668">
        <v>14</v>
      </c>
      <c r="P2021" s="668" t="str">
        <f>IFERROR(VLOOKUP(F2021, [2]MOE!B:C, 2, FALSE), "No")</f>
        <v>No</v>
      </c>
      <c r="Q2021" s="711"/>
      <c r="S2021" s="670" t="s">
        <v>2827</v>
      </c>
      <c r="T2021" s="668" t="s">
        <v>1059</v>
      </c>
    </row>
    <row r="2022" spans="1:20">
      <c r="A2022" s="671"/>
      <c r="B2022" s="677"/>
      <c r="C2022" s="672"/>
      <c r="D2022" s="672"/>
      <c r="E2022" s="676" t="s">
        <v>2259</v>
      </c>
      <c r="F2022" s="675"/>
      <c r="G2022" s="672"/>
      <c r="H2022" s="676"/>
      <c r="Q2022" s="711"/>
      <c r="S2022" s="670"/>
    </row>
    <row r="2023" spans="1:20">
      <c r="A2023" s="679">
        <v>8952252</v>
      </c>
      <c r="B2023" s="677"/>
      <c r="C2023" s="672"/>
      <c r="D2023" s="672"/>
      <c r="E2023" s="676" t="s">
        <v>2260</v>
      </c>
      <c r="F2023" s="680" t="s">
        <v>2860</v>
      </c>
      <c r="G2023" s="710">
        <v>895</v>
      </c>
      <c r="H2023" s="682">
        <v>2252</v>
      </c>
      <c r="J2023" s="668" t="str">
        <f t="shared" ref="J2023:J2024" si="351">E2023</f>
        <v>(a) Misc. Non-Public Expenditures</v>
      </c>
      <c r="L2023" s="668">
        <v>139</v>
      </c>
      <c r="M2023" s="669">
        <v>129</v>
      </c>
      <c r="N2023" s="668"/>
      <c r="O2023" s="668">
        <v>14</v>
      </c>
      <c r="P2023" s="668" t="str">
        <f>IFERROR(VLOOKUP(F2023, [2]MOE!B:C, 2, FALSE), "No")</f>
        <v>No</v>
      </c>
      <c r="Q2023" s="711"/>
      <c r="S2023" s="670" t="s">
        <v>2827</v>
      </c>
      <c r="T2023" s="668" t="s">
        <v>2262</v>
      </c>
    </row>
    <row r="2024" spans="1:20">
      <c r="A2024" s="679">
        <v>8002252</v>
      </c>
      <c r="B2024" s="677"/>
      <c r="C2024" s="672"/>
      <c r="D2024" s="672"/>
      <c r="E2024" s="676" t="s">
        <v>2263</v>
      </c>
      <c r="F2024" s="680" t="s">
        <v>2861</v>
      </c>
      <c r="G2024" s="710">
        <v>800</v>
      </c>
      <c r="H2024" s="682">
        <v>2252</v>
      </c>
      <c r="J2024" s="668" t="str">
        <f t="shared" si="351"/>
        <v>(b) Other Miscellaneous Expenditures</v>
      </c>
      <c r="L2024" s="668">
        <v>139</v>
      </c>
      <c r="M2024" s="669">
        <v>129</v>
      </c>
      <c r="N2024" s="668"/>
      <c r="O2024" s="668">
        <v>14</v>
      </c>
      <c r="P2024" s="668" t="str">
        <f>IFERROR(VLOOKUP(F2024, [2]MOE!B:C, 2, FALSE), "No")</f>
        <v>No</v>
      </c>
      <c r="Q2024" s="711"/>
      <c r="S2024" s="670" t="s">
        <v>2827</v>
      </c>
      <c r="T2024" s="668" t="s">
        <v>1063</v>
      </c>
    </row>
    <row r="2025" spans="1:20">
      <c r="A2025" s="671"/>
      <c r="B2025" s="677"/>
      <c r="C2025" s="672"/>
      <c r="D2025" s="672" t="s">
        <v>777</v>
      </c>
      <c r="E2025" s="676" t="s">
        <v>2862</v>
      </c>
      <c r="F2025" s="675"/>
      <c r="G2025" s="672"/>
      <c r="H2025" s="676"/>
      <c r="Q2025" s="711"/>
      <c r="S2025" s="670"/>
    </row>
    <row r="2026" spans="1:20">
      <c r="A2026" s="671"/>
      <c r="B2026" s="677"/>
      <c r="C2026" s="672"/>
      <c r="D2026" s="672"/>
      <c r="E2026" s="676" t="s">
        <v>2679</v>
      </c>
      <c r="F2026" s="675"/>
      <c r="G2026" s="672"/>
      <c r="H2026" s="676"/>
      <c r="Q2026" s="711"/>
      <c r="S2026" s="670"/>
    </row>
    <row r="2027" spans="1:20">
      <c r="A2027" s="679">
        <v>1112259</v>
      </c>
      <c r="B2027" s="677"/>
      <c r="C2027" s="672"/>
      <c r="D2027" s="672"/>
      <c r="E2027" s="676" t="s">
        <v>2863</v>
      </c>
      <c r="F2027" s="680" t="s">
        <v>2864</v>
      </c>
      <c r="G2027" s="710">
        <v>111</v>
      </c>
      <c r="H2027" s="682">
        <v>2259</v>
      </c>
      <c r="J2027" s="668" t="str">
        <f t="shared" ref="J2027:J2033" si="352">E2027</f>
        <v>(a) Supervisors</v>
      </c>
      <c r="L2027" s="668">
        <v>81</v>
      </c>
      <c r="M2027" s="669">
        <v>76</v>
      </c>
      <c r="N2027" s="668"/>
      <c r="O2027" s="668">
        <v>14</v>
      </c>
      <c r="P2027" s="668" t="str">
        <f>IFERROR(VLOOKUP(F2027, [2]MOE!B:C, 2, FALSE), "No")</f>
        <v>No</v>
      </c>
      <c r="Q2027" s="711" t="s">
        <v>1004</v>
      </c>
      <c r="S2027" s="670" t="s">
        <v>2865</v>
      </c>
      <c r="T2027" s="668" t="s">
        <v>1848</v>
      </c>
    </row>
    <row r="2028" spans="1:20">
      <c r="A2028" s="679">
        <v>1122259</v>
      </c>
      <c r="B2028" s="677"/>
      <c r="C2028" s="672"/>
      <c r="D2028" s="672"/>
      <c r="E2028" s="676" t="s">
        <v>2866</v>
      </c>
      <c r="F2028" s="680" t="s">
        <v>2867</v>
      </c>
      <c r="G2028" s="710">
        <v>112</v>
      </c>
      <c r="H2028" s="682">
        <v>2259</v>
      </c>
      <c r="J2028" s="668" t="str">
        <f t="shared" si="352"/>
        <v>(b) Media-Based Teacher (Ed TV, CAI)</v>
      </c>
      <c r="L2028" s="668">
        <v>82</v>
      </c>
      <c r="M2028" s="669">
        <v>77</v>
      </c>
      <c r="N2028" s="668"/>
      <c r="O2028" s="668">
        <v>14</v>
      </c>
      <c r="P2028" s="668" t="str">
        <f>IFERROR(VLOOKUP(F2028, [2]MOE!B:C, 2, FALSE), "No")</f>
        <v>No</v>
      </c>
      <c r="Q2028" s="711" t="s">
        <v>1004</v>
      </c>
      <c r="S2028" s="670" t="s">
        <v>2865</v>
      </c>
      <c r="T2028" s="668" t="s">
        <v>2868</v>
      </c>
    </row>
    <row r="2029" spans="1:20">
      <c r="A2029" s="679">
        <v>1132259</v>
      </c>
      <c r="B2029" s="677"/>
      <c r="C2029" s="672"/>
      <c r="D2029" s="672"/>
      <c r="E2029" s="676" t="s">
        <v>2557</v>
      </c>
      <c r="F2029" s="680" t="s">
        <v>2869</v>
      </c>
      <c r="G2029" s="710">
        <v>113</v>
      </c>
      <c r="H2029" s="682">
        <v>2259</v>
      </c>
      <c r="J2029" s="668" t="str">
        <f t="shared" si="352"/>
        <v>(c) Specialists</v>
      </c>
      <c r="L2029" s="668">
        <v>83</v>
      </c>
      <c r="M2029" s="669">
        <v>78</v>
      </c>
      <c r="N2029" s="668"/>
      <c r="O2029" s="668">
        <v>14</v>
      </c>
      <c r="P2029" s="668" t="str">
        <f>IFERROR(VLOOKUP(F2029, [2]MOE!B:C, 2, FALSE), "No")</f>
        <v>No</v>
      </c>
      <c r="Q2029" s="711" t="s">
        <v>1004</v>
      </c>
      <c r="S2029" s="670" t="s">
        <v>2865</v>
      </c>
      <c r="T2029" s="668" t="s">
        <v>2221</v>
      </c>
    </row>
    <row r="2030" spans="1:20">
      <c r="A2030" s="679">
        <v>1142259</v>
      </c>
      <c r="B2030" s="677"/>
      <c r="C2030" s="672"/>
      <c r="D2030" s="672"/>
      <c r="E2030" s="676" t="s">
        <v>2835</v>
      </c>
      <c r="F2030" s="680" t="s">
        <v>2870</v>
      </c>
      <c r="G2030" s="710">
        <v>114</v>
      </c>
      <c r="H2030" s="682">
        <v>2259</v>
      </c>
      <c r="J2030" s="668" t="str">
        <f t="shared" si="352"/>
        <v>(d) Clerical/Secretarial</v>
      </c>
      <c r="L2030" s="668">
        <v>84</v>
      </c>
      <c r="M2030" s="669">
        <v>79</v>
      </c>
      <c r="N2030" s="668"/>
      <c r="O2030" s="668">
        <v>14</v>
      </c>
      <c r="P2030" s="668" t="str">
        <f>IFERROR(VLOOKUP(F2030, [2]MOE!B:C, 2, FALSE), "No")</f>
        <v>No</v>
      </c>
      <c r="Q2030" s="711" t="s">
        <v>1004</v>
      </c>
      <c r="S2030" s="670" t="s">
        <v>2865</v>
      </c>
      <c r="T2030" s="668" t="s">
        <v>1854</v>
      </c>
    </row>
    <row r="2031" spans="1:20">
      <c r="A2031" s="679">
        <v>1002259</v>
      </c>
      <c r="B2031" s="677"/>
      <c r="C2031" s="672"/>
      <c r="D2031" s="672"/>
      <c r="E2031" s="676" t="s">
        <v>2871</v>
      </c>
      <c r="F2031" s="680" t="s">
        <v>2872</v>
      </c>
      <c r="G2031" s="710">
        <v>100</v>
      </c>
      <c r="H2031" s="682">
        <v>2259</v>
      </c>
      <c r="J2031" s="668" t="str">
        <f t="shared" si="352"/>
        <v>(e) Other Salaries - Ed. Media Svcs</v>
      </c>
      <c r="L2031" s="668">
        <v>86</v>
      </c>
      <c r="M2031" s="669">
        <v>81</v>
      </c>
      <c r="N2031" s="668"/>
      <c r="O2031" s="668">
        <v>14</v>
      </c>
      <c r="P2031" s="668" t="str">
        <f>IFERROR(VLOOKUP(F2031, [2]MOE!B:C, 2, FALSE), "No")</f>
        <v>No</v>
      </c>
      <c r="Q2031" s="711" t="s">
        <v>1004</v>
      </c>
      <c r="S2031" s="670" t="s">
        <v>2865</v>
      </c>
      <c r="T2031" s="668" t="s">
        <v>2873</v>
      </c>
    </row>
    <row r="2032" spans="1:20">
      <c r="A2032" s="679">
        <v>1402259</v>
      </c>
      <c r="B2032" s="677"/>
      <c r="C2032" s="672"/>
      <c r="D2032" s="672"/>
      <c r="E2032" s="676" t="s">
        <v>2874</v>
      </c>
      <c r="F2032" s="680" t="s">
        <v>2875</v>
      </c>
      <c r="G2032" s="710">
        <v>140</v>
      </c>
      <c r="H2032" s="682">
        <v>2259</v>
      </c>
      <c r="J2032" s="668" t="str">
        <f t="shared" si="352"/>
        <v>(f) Sabbatical Leave</v>
      </c>
      <c r="L2032" s="668">
        <v>86</v>
      </c>
      <c r="M2032" s="669">
        <v>81</v>
      </c>
      <c r="N2032" s="668"/>
      <c r="O2032" s="668">
        <v>14</v>
      </c>
      <c r="P2032" s="668" t="str">
        <f>IFERROR(VLOOKUP(F2032, [2]MOE!B:C, 2, FALSE), "No")</f>
        <v>No</v>
      </c>
      <c r="Q2032" s="711" t="s">
        <v>1004</v>
      </c>
      <c r="S2032" s="670" t="s">
        <v>2865</v>
      </c>
      <c r="T2032" s="668" t="s">
        <v>1019</v>
      </c>
    </row>
    <row r="2033" spans="1:20">
      <c r="A2033" s="679">
        <v>3002259</v>
      </c>
      <c r="B2033" s="677"/>
      <c r="C2033" s="672"/>
      <c r="D2033" s="672"/>
      <c r="E2033" s="676" t="s">
        <v>2564</v>
      </c>
      <c r="F2033" s="680" t="s">
        <v>2876</v>
      </c>
      <c r="G2033" s="710">
        <v>300</v>
      </c>
      <c r="H2033" s="682">
        <v>2259</v>
      </c>
      <c r="J2033" s="668" t="str">
        <f t="shared" si="352"/>
        <v>(2) Purchased Professional and Tech Svcs</v>
      </c>
      <c r="L2033" s="668">
        <v>101</v>
      </c>
      <c r="M2033" s="669">
        <v>96</v>
      </c>
      <c r="N2033" s="668"/>
      <c r="O2033" s="668">
        <v>14</v>
      </c>
      <c r="P2033" s="668" t="str">
        <f>IFERROR(VLOOKUP(F2033, [2]MOE!B:C, 2, FALSE), "No")</f>
        <v>No</v>
      </c>
      <c r="Q2033" s="711"/>
      <c r="S2033" s="670" t="s">
        <v>2865</v>
      </c>
      <c r="T2033" s="668" t="s">
        <v>2566</v>
      </c>
    </row>
    <row r="2034" spans="1:20">
      <c r="A2034" s="671"/>
      <c r="B2034" s="677"/>
      <c r="C2034" s="672"/>
      <c r="D2034" s="672"/>
      <c r="E2034" s="676" t="s">
        <v>2231</v>
      </c>
      <c r="F2034" s="675"/>
      <c r="G2034" s="672"/>
      <c r="H2034" s="676"/>
      <c r="Q2034" s="711"/>
      <c r="S2034" s="670"/>
    </row>
    <row r="2035" spans="1:20">
      <c r="A2035" s="679">
        <v>4302259</v>
      </c>
      <c r="B2035" s="677"/>
      <c r="C2035" s="672"/>
      <c r="D2035" s="672"/>
      <c r="E2035" s="676" t="s">
        <v>2232</v>
      </c>
      <c r="F2035" s="680" t="s">
        <v>2877</v>
      </c>
      <c r="G2035" s="710">
        <v>430</v>
      </c>
      <c r="H2035" s="682">
        <v>2259</v>
      </c>
      <c r="J2035" s="668" t="str">
        <f t="shared" ref="J2035:J2037" si="353">E2035</f>
        <v>(a) Repairs and Maintenance Services</v>
      </c>
      <c r="L2035" s="668">
        <v>107</v>
      </c>
      <c r="M2035" s="669">
        <v>102</v>
      </c>
      <c r="N2035" s="668"/>
      <c r="O2035" s="668">
        <v>14</v>
      </c>
      <c r="P2035" s="668" t="str">
        <f>IFERROR(VLOOKUP(F2035, [2]MOE!B:C, 2, FALSE), "No")</f>
        <v>No</v>
      </c>
      <c r="Q2035" s="711"/>
      <c r="S2035" s="670" t="s">
        <v>2865</v>
      </c>
      <c r="T2035" s="668" t="s">
        <v>1023</v>
      </c>
    </row>
    <row r="2036" spans="1:20">
      <c r="A2036" s="679">
        <v>4422259</v>
      </c>
      <c r="B2036" s="677"/>
      <c r="C2036" s="672"/>
      <c r="D2036" s="672"/>
      <c r="E2036" s="676" t="s">
        <v>2234</v>
      </c>
      <c r="F2036" s="680" t="s">
        <v>2878</v>
      </c>
      <c r="G2036" s="710">
        <v>442</v>
      </c>
      <c r="H2036" s="682">
        <v>2259</v>
      </c>
      <c r="J2036" s="668" t="str">
        <f t="shared" si="353"/>
        <v>(b) Rental of Equipment</v>
      </c>
      <c r="L2036" s="668">
        <v>106</v>
      </c>
      <c r="M2036" s="669">
        <v>101</v>
      </c>
      <c r="N2036" s="668"/>
      <c r="O2036" s="668">
        <v>14</v>
      </c>
      <c r="P2036" s="668" t="str">
        <f>IFERROR(VLOOKUP(F2036, [2]MOE!B:C, 2, FALSE), "No")</f>
        <v>No</v>
      </c>
      <c r="Q2036" s="711"/>
      <c r="S2036" s="670" t="s">
        <v>2865</v>
      </c>
      <c r="T2036" s="668" t="s">
        <v>1025</v>
      </c>
    </row>
    <row r="2037" spans="1:20">
      <c r="A2037" s="679">
        <v>4002259</v>
      </c>
      <c r="B2037" s="677"/>
      <c r="C2037" s="672"/>
      <c r="D2037" s="672"/>
      <c r="E2037" s="676" t="s">
        <v>2236</v>
      </c>
      <c r="F2037" s="680" t="s">
        <v>2879</v>
      </c>
      <c r="G2037" s="710">
        <v>400</v>
      </c>
      <c r="H2037" s="682">
        <v>2259</v>
      </c>
      <c r="J2037" s="668" t="str">
        <f t="shared" si="353"/>
        <v>(c) Other Purchased Property Svcs</v>
      </c>
      <c r="L2037" s="668">
        <v>108</v>
      </c>
      <c r="M2037" s="669">
        <v>103</v>
      </c>
      <c r="N2037" s="668"/>
      <c r="O2037" s="668">
        <v>14</v>
      </c>
      <c r="P2037" s="668" t="str">
        <f>IFERROR(VLOOKUP(F2037, [2]MOE!B:C, 2, FALSE), "No")</f>
        <v>No</v>
      </c>
      <c r="Q2037" s="711"/>
      <c r="S2037" s="670" t="s">
        <v>2865</v>
      </c>
      <c r="T2037" s="668" t="s">
        <v>2238</v>
      </c>
    </row>
    <row r="2038" spans="1:20">
      <c r="A2038" s="671"/>
      <c r="B2038" s="677"/>
      <c r="C2038" s="672"/>
      <c r="D2038" s="672"/>
      <c r="E2038" s="676" t="s">
        <v>1395</v>
      </c>
      <c r="F2038" s="675"/>
      <c r="G2038" s="672"/>
      <c r="H2038" s="676"/>
      <c r="Q2038" s="711"/>
      <c r="S2038" s="670"/>
    </row>
    <row r="2039" spans="1:20">
      <c r="A2039" s="679">
        <v>5822259</v>
      </c>
      <c r="B2039" s="677"/>
      <c r="C2039" s="672"/>
      <c r="D2039" s="672"/>
      <c r="E2039" s="676" t="s">
        <v>2239</v>
      </c>
      <c r="F2039" s="680" t="s">
        <v>2880</v>
      </c>
      <c r="G2039" s="710">
        <v>582</v>
      </c>
      <c r="H2039" s="682">
        <v>2259</v>
      </c>
      <c r="J2039" s="668" t="str">
        <f t="shared" ref="J2039:J2040" si="354">E2039</f>
        <v>(a) Travel Expense Reimbursement</v>
      </c>
      <c r="L2039" s="668">
        <v>118</v>
      </c>
      <c r="M2039" s="669">
        <v>109</v>
      </c>
      <c r="N2039" s="668"/>
      <c r="O2039" s="668">
        <v>14</v>
      </c>
      <c r="P2039" s="668" t="str">
        <f>IFERROR(VLOOKUP(F2039, [2]MOE!B:C, 2, FALSE), "No")</f>
        <v>No</v>
      </c>
      <c r="Q2039" s="711"/>
      <c r="S2039" s="670" t="s">
        <v>2865</v>
      </c>
      <c r="T2039" s="668" t="s">
        <v>1039</v>
      </c>
    </row>
    <row r="2040" spans="1:20">
      <c r="A2040" s="679">
        <v>5002259</v>
      </c>
      <c r="B2040" s="677"/>
      <c r="C2040" s="672"/>
      <c r="D2040" s="672"/>
      <c r="E2040" s="676" t="s">
        <v>2241</v>
      </c>
      <c r="F2040" s="680" t="s">
        <v>2881</v>
      </c>
      <c r="G2040" s="710">
        <v>500</v>
      </c>
      <c r="H2040" s="682">
        <v>2259</v>
      </c>
      <c r="J2040" s="668" t="str">
        <f t="shared" si="354"/>
        <v>(b) Other Purchased Services</v>
      </c>
      <c r="L2040" s="668">
        <v>119</v>
      </c>
      <c r="M2040" s="669">
        <v>110</v>
      </c>
      <c r="N2040" s="668"/>
      <c r="O2040" s="668">
        <v>14</v>
      </c>
      <c r="P2040" s="668" t="str">
        <f>IFERROR(VLOOKUP(F2040, [2]MOE!B:C, 2, FALSE), "No")</f>
        <v>No</v>
      </c>
      <c r="Q2040" s="711"/>
      <c r="S2040" s="670" t="s">
        <v>2865</v>
      </c>
      <c r="T2040" s="668" t="s">
        <v>252</v>
      </c>
    </row>
    <row r="2041" spans="1:20">
      <c r="A2041" s="671"/>
      <c r="B2041" s="677"/>
      <c r="C2041" s="672"/>
      <c r="D2041" s="672"/>
      <c r="E2041" s="676" t="s">
        <v>2243</v>
      </c>
      <c r="F2041" s="675"/>
      <c r="G2041" s="672"/>
      <c r="H2041" s="676"/>
      <c r="Q2041" s="711"/>
      <c r="S2041" s="670"/>
    </row>
    <row r="2042" spans="1:20">
      <c r="A2042" s="679">
        <v>6152259</v>
      </c>
      <c r="B2042" s="677"/>
      <c r="C2042" s="672"/>
      <c r="D2042" s="672"/>
      <c r="E2042" s="676" t="s">
        <v>2244</v>
      </c>
      <c r="F2042" s="680" t="s">
        <v>2882</v>
      </c>
      <c r="G2042" s="710">
        <v>615</v>
      </c>
      <c r="H2042" s="682">
        <v>2259</v>
      </c>
      <c r="J2042" s="668" t="str">
        <f t="shared" ref="J2042:J2045" si="355">E2042</f>
        <v>(a) Technology-Related Supplies</v>
      </c>
      <c r="L2042" s="668">
        <v>126</v>
      </c>
      <c r="M2042" s="669">
        <v>117</v>
      </c>
      <c r="N2042" s="668"/>
      <c r="O2042" s="668">
        <v>14</v>
      </c>
      <c r="P2042" s="668" t="str">
        <f>IFERROR(VLOOKUP(F2042, [2]MOE!B:C, 2, FALSE), "No")</f>
        <v>No</v>
      </c>
      <c r="Q2042" s="711" t="s">
        <v>1045</v>
      </c>
      <c r="S2042" s="670" t="s">
        <v>2865</v>
      </c>
      <c r="T2042" s="668" t="s">
        <v>1043</v>
      </c>
    </row>
    <row r="2043" spans="1:20">
      <c r="A2043" s="679">
        <v>6102259</v>
      </c>
      <c r="B2043" s="677"/>
      <c r="C2043" s="672"/>
      <c r="D2043" s="672"/>
      <c r="E2043" s="676" t="s">
        <v>2246</v>
      </c>
      <c r="F2043" s="680" t="s">
        <v>2883</v>
      </c>
      <c r="G2043" s="710">
        <v>610</v>
      </c>
      <c r="H2043" s="682">
        <v>2259</v>
      </c>
      <c r="J2043" s="668" t="str">
        <f t="shared" si="355"/>
        <v>(b) Materials and Supplies</v>
      </c>
      <c r="L2043" s="668">
        <v>122</v>
      </c>
      <c r="M2043" s="669">
        <v>113</v>
      </c>
      <c r="N2043" s="668"/>
      <c r="O2043" s="668">
        <v>14</v>
      </c>
      <c r="P2043" s="668" t="str">
        <f>IFERROR(VLOOKUP(F2043, [2]MOE!B:C, 2, FALSE), "No")</f>
        <v>No</v>
      </c>
      <c r="Q2043" s="711" t="s">
        <v>1045</v>
      </c>
      <c r="S2043" s="670" t="s">
        <v>2865</v>
      </c>
      <c r="T2043" s="668" t="s">
        <v>39</v>
      </c>
    </row>
    <row r="2044" spans="1:20">
      <c r="A2044" s="679">
        <v>6402259</v>
      </c>
      <c r="B2044" s="677"/>
      <c r="C2044" s="672"/>
      <c r="D2044" s="672"/>
      <c r="E2044" s="676" t="s">
        <v>2852</v>
      </c>
      <c r="F2044" s="680" t="s">
        <v>2884</v>
      </c>
      <c r="G2044" s="710">
        <v>640</v>
      </c>
      <c r="H2044" s="682">
        <v>2259</v>
      </c>
      <c r="J2044" s="668" t="str">
        <f t="shared" si="355"/>
        <v>(c) Books and Periodicals</v>
      </c>
      <c r="L2044" s="668">
        <v>125</v>
      </c>
      <c r="M2044" s="669">
        <v>116</v>
      </c>
      <c r="N2044" s="668"/>
      <c r="O2044" s="668">
        <v>14</v>
      </c>
      <c r="P2044" s="668" t="str">
        <f>IFERROR(VLOOKUP(F2044, [2]MOE!B:C, 2, FALSE), "No")</f>
        <v>No</v>
      </c>
      <c r="Q2044" s="711" t="s">
        <v>1045</v>
      </c>
      <c r="S2044" s="670" t="s">
        <v>2865</v>
      </c>
      <c r="T2044" s="668" t="s">
        <v>2529</v>
      </c>
    </row>
    <row r="2045" spans="1:20">
      <c r="A2045" s="679">
        <v>6002259</v>
      </c>
      <c r="B2045" s="677"/>
      <c r="C2045" s="672"/>
      <c r="D2045" s="672"/>
      <c r="E2045" s="676" t="s">
        <v>2854</v>
      </c>
      <c r="F2045" s="680" t="s">
        <v>2885</v>
      </c>
      <c r="G2045" s="710">
        <v>600</v>
      </c>
      <c r="H2045" s="682">
        <v>2259</v>
      </c>
      <c r="J2045" s="668" t="str">
        <f t="shared" si="355"/>
        <v>(d) Other Supplies</v>
      </c>
      <c r="L2045" s="668">
        <v>126</v>
      </c>
      <c r="M2045" s="669">
        <v>117</v>
      </c>
      <c r="N2045" s="668"/>
      <c r="O2045" s="668">
        <v>14</v>
      </c>
      <c r="P2045" s="668" t="str">
        <f>IFERROR(VLOOKUP(F2045, [2]MOE!B:C, 2, FALSE), "No")</f>
        <v>No</v>
      </c>
      <c r="Q2045" s="711"/>
      <c r="S2045" s="670" t="s">
        <v>2865</v>
      </c>
      <c r="T2045" s="668" t="s">
        <v>1050</v>
      </c>
    </row>
    <row r="2046" spans="1:20">
      <c r="A2046" s="671"/>
      <c r="B2046" s="677"/>
      <c r="C2046" s="672"/>
      <c r="D2046" s="672"/>
      <c r="E2046" s="676" t="s">
        <v>2250</v>
      </c>
      <c r="F2046" s="675"/>
      <c r="G2046" s="672"/>
      <c r="H2046" s="676"/>
      <c r="Q2046" s="711"/>
      <c r="S2046" s="670"/>
    </row>
    <row r="2047" spans="1:20">
      <c r="A2047" s="679">
        <v>7342259</v>
      </c>
      <c r="B2047" s="677"/>
      <c r="C2047" s="672"/>
      <c r="D2047" s="672"/>
      <c r="E2047" s="676" t="s">
        <v>2251</v>
      </c>
      <c r="F2047" s="680" t="s">
        <v>2886</v>
      </c>
      <c r="G2047" s="710">
        <v>734</v>
      </c>
      <c r="H2047" s="682">
        <v>2259</v>
      </c>
      <c r="J2047" s="668" t="str">
        <f t="shared" ref="J2047:J2050" si="356">E2047</f>
        <v>(a) Technology-Related Hardware</v>
      </c>
      <c r="L2047" s="668">
        <v>131</v>
      </c>
      <c r="M2047" s="669">
        <v>122</v>
      </c>
      <c r="N2047" s="668"/>
      <c r="O2047" s="668">
        <v>14</v>
      </c>
      <c r="P2047" s="668" t="str">
        <f>IFERROR(VLOOKUP(F2047, [2]MOE!B:C, 2, FALSE), "No")</f>
        <v>No</v>
      </c>
      <c r="Q2047" s="711"/>
      <c r="S2047" s="670" t="s">
        <v>2865</v>
      </c>
      <c r="T2047" s="668" t="s">
        <v>1053</v>
      </c>
    </row>
    <row r="2048" spans="1:20">
      <c r="A2048" s="679">
        <v>7352259</v>
      </c>
      <c r="B2048" s="677"/>
      <c r="C2048" s="672"/>
      <c r="D2048" s="672"/>
      <c r="E2048" s="676" t="s">
        <v>2253</v>
      </c>
      <c r="F2048" s="680" t="s">
        <v>2887</v>
      </c>
      <c r="G2048" s="710">
        <v>735</v>
      </c>
      <c r="H2048" s="682">
        <v>2259</v>
      </c>
      <c r="J2048" s="668" t="str">
        <f t="shared" si="356"/>
        <v>(b) Technology Software</v>
      </c>
      <c r="L2048" s="668">
        <v>131</v>
      </c>
      <c r="M2048" s="669">
        <v>122</v>
      </c>
      <c r="N2048" s="668"/>
      <c r="O2048" s="668">
        <v>14</v>
      </c>
      <c r="P2048" s="668" t="str">
        <f>IFERROR(VLOOKUP(F2048, [2]MOE!B:C, 2, FALSE), "No")</f>
        <v>No</v>
      </c>
      <c r="Q2048" s="711"/>
      <c r="S2048" s="670" t="s">
        <v>2865</v>
      </c>
      <c r="T2048" s="668" t="s">
        <v>1055</v>
      </c>
    </row>
    <row r="2049" spans="1:20">
      <c r="A2049" s="679">
        <v>7302259</v>
      </c>
      <c r="B2049" s="677"/>
      <c r="C2049" s="672"/>
      <c r="D2049" s="672"/>
      <c r="E2049" s="676" t="s">
        <v>2255</v>
      </c>
      <c r="F2049" s="680" t="s">
        <v>2888</v>
      </c>
      <c r="G2049" s="710">
        <v>730</v>
      </c>
      <c r="H2049" s="682">
        <v>2259</v>
      </c>
      <c r="J2049" s="668" t="str">
        <f t="shared" si="356"/>
        <v>(c) All Other Equipment</v>
      </c>
      <c r="L2049" s="668">
        <v>131</v>
      </c>
      <c r="M2049" s="669">
        <v>122</v>
      </c>
      <c r="N2049" s="668"/>
      <c r="O2049" s="668">
        <v>14</v>
      </c>
      <c r="P2049" s="668" t="str">
        <f>IFERROR(VLOOKUP(F2049, [2]MOE!B:C, 2, FALSE), "No")</f>
        <v>No</v>
      </c>
      <c r="Q2049" s="711"/>
      <c r="S2049" s="670" t="s">
        <v>2865</v>
      </c>
      <c r="T2049" s="668" t="s">
        <v>1057</v>
      </c>
    </row>
    <row r="2050" spans="1:20">
      <c r="A2050" s="679">
        <v>7002259</v>
      </c>
      <c r="B2050" s="677"/>
      <c r="C2050" s="672"/>
      <c r="D2050" s="672"/>
      <c r="E2050" s="676" t="s">
        <v>2257</v>
      </c>
      <c r="F2050" s="680" t="s">
        <v>2889</v>
      </c>
      <c r="G2050" s="710">
        <v>700</v>
      </c>
      <c r="H2050" s="682">
        <v>2259</v>
      </c>
      <c r="J2050" s="668" t="str">
        <f t="shared" si="356"/>
        <v>(d) Other Property</v>
      </c>
      <c r="L2050" s="668">
        <v>132</v>
      </c>
      <c r="M2050" s="669">
        <v>123</v>
      </c>
      <c r="N2050" s="668"/>
      <c r="O2050" s="668">
        <v>14</v>
      </c>
      <c r="P2050" s="668" t="str">
        <f>IFERROR(VLOOKUP(F2050, [2]MOE!B:C, 2, FALSE), "No")</f>
        <v>No</v>
      </c>
      <c r="Q2050" s="711"/>
      <c r="S2050" s="670" t="s">
        <v>2865</v>
      </c>
      <c r="T2050" s="668" t="s">
        <v>1059</v>
      </c>
    </row>
    <row r="2051" spans="1:20">
      <c r="A2051" s="671"/>
      <c r="B2051" s="677"/>
      <c r="C2051" s="672"/>
      <c r="D2051" s="672"/>
      <c r="E2051" s="676" t="s">
        <v>2259</v>
      </c>
      <c r="F2051" s="675"/>
      <c r="G2051" s="672"/>
      <c r="H2051" s="676"/>
      <c r="Q2051" s="711"/>
      <c r="S2051" s="670"/>
    </row>
    <row r="2052" spans="1:20">
      <c r="A2052" s="679">
        <v>8952259</v>
      </c>
      <c r="B2052" s="677"/>
      <c r="C2052" s="672"/>
      <c r="D2052" s="672"/>
      <c r="E2052" s="676" t="s">
        <v>2260</v>
      </c>
      <c r="F2052" s="680" t="s">
        <v>2890</v>
      </c>
      <c r="G2052" s="710">
        <v>895</v>
      </c>
      <c r="H2052" s="682">
        <v>2259</v>
      </c>
      <c r="J2052" s="668" t="str">
        <f t="shared" ref="J2052:J2053" si="357">E2052</f>
        <v>(a) Misc. Non-Public Expenditures</v>
      </c>
      <c r="L2052" s="668">
        <v>139</v>
      </c>
      <c r="M2052" s="669">
        <v>129</v>
      </c>
      <c r="N2052" s="668"/>
      <c r="O2052" s="668">
        <v>14</v>
      </c>
      <c r="P2052" s="668" t="str">
        <f>IFERROR(VLOOKUP(F2052, [2]MOE!B:C, 2, FALSE), "No")</f>
        <v>No</v>
      </c>
      <c r="Q2052" s="711"/>
      <c r="S2052" s="670" t="s">
        <v>2865</v>
      </c>
      <c r="T2052" s="668" t="s">
        <v>2262</v>
      </c>
    </row>
    <row r="2053" spans="1:20">
      <c r="A2053" s="679">
        <v>8002259</v>
      </c>
      <c r="B2053" s="677"/>
      <c r="C2053" s="672"/>
      <c r="D2053" s="672"/>
      <c r="E2053" s="676" t="s">
        <v>2263</v>
      </c>
      <c r="F2053" s="680" t="s">
        <v>2891</v>
      </c>
      <c r="G2053" s="710">
        <v>800</v>
      </c>
      <c r="H2053" s="682">
        <v>2259</v>
      </c>
      <c r="J2053" s="668" t="str">
        <f t="shared" si="357"/>
        <v>(b) Other Miscellaneous Expenditures</v>
      </c>
      <c r="L2053" s="668">
        <v>139</v>
      </c>
      <c r="M2053" s="669">
        <v>129</v>
      </c>
      <c r="N2053" s="668"/>
      <c r="O2053" s="668">
        <v>14</v>
      </c>
      <c r="P2053" s="668" t="str">
        <f>IFERROR(VLOOKUP(F2053, [2]MOE!B:C, 2, FALSE), "No")</f>
        <v>No</v>
      </c>
      <c r="Q2053" s="711"/>
      <c r="S2053" s="670" t="s">
        <v>2865</v>
      </c>
      <c r="T2053" s="668" t="s">
        <v>1063</v>
      </c>
    </row>
    <row r="2054" spans="1:20">
      <c r="A2054" s="671"/>
      <c r="B2054" s="677"/>
      <c r="C2054" s="672"/>
      <c r="D2054" s="672"/>
      <c r="E2054" s="676" t="s">
        <v>2892</v>
      </c>
      <c r="F2054" s="675"/>
      <c r="G2054" s="672"/>
      <c r="H2054" s="676"/>
      <c r="Q2054" s="711"/>
      <c r="S2054" s="670"/>
    </row>
    <row r="2055" spans="1:20">
      <c r="A2055" s="679">
        <v>2102250</v>
      </c>
      <c r="B2055" s="677"/>
      <c r="C2055" s="672"/>
      <c r="D2055" s="672"/>
      <c r="E2055" s="676" t="s">
        <v>2266</v>
      </c>
      <c r="F2055" s="680" t="s">
        <v>2893</v>
      </c>
      <c r="G2055" s="710">
        <v>210</v>
      </c>
      <c r="H2055" s="682">
        <v>2250</v>
      </c>
      <c r="J2055" s="668" t="str">
        <f t="shared" ref="J2055:J2057" si="358">E2055</f>
        <v>(a) Group Insurance</v>
      </c>
      <c r="L2055" s="668">
        <v>89</v>
      </c>
      <c r="M2055" s="669">
        <v>84</v>
      </c>
      <c r="N2055" s="668"/>
      <c r="O2055" s="668">
        <v>14</v>
      </c>
      <c r="P2055" s="668" t="str">
        <f>IFERROR(VLOOKUP(F2055, [2]MOE!B:C, 2, FALSE), "No")</f>
        <v>No</v>
      </c>
      <c r="Q2055" s="711" t="s">
        <v>1004</v>
      </c>
      <c r="S2055" s="670" t="s">
        <v>2865</v>
      </c>
      <c r="T2055" s="668" t="s">
        <v>1066</v>
      </c>
    </row>
    <row r="2056" spans="1:20">
      <c r="A2056" s="679">
        <v>2202250</v>
      </c>
      <c r="B2056" s="677"/>
      <c r="C2056" s="672"/>
      <c r="D2056" s="672"/>
      <c r="E2056" s="676" t="s">
        <v>2268</v>
      </c>
      <c r="F2056" s="680" t="s">
        <v>2894</v>
      </c>
      <c r="G2056" s="710">
        <v>220</v>
      </c>
      <c r="H2056" s="682">
        <v>2250</v>
      </c>
      <c r="J2056" s="668" t="str">
        <f t="shared" si="358"/>
        <v>(b) FICA</v>
      </c>
      <c r="L2056" s="668">
        <v>90</v>
      </c>
      <c r="M2056" s="669">
        <v>85</v>
      </c>
      <c r="N2056" s="668"/>
      <c r="O2056" s="668">
        <v>14</v>
      </c>
      <c r="P2056" s="668" t="str">
        <f>IFERROR(VLOOKUP(F2056, [2]MOE!B:C, 2, FALSE), "No")</f>
        <v>No</v>
      </c>
      <c r="Q2056" s="711" t="s">
        <v>1004</v>
      </c>
      <c r="S2056" s="670" t="s">
        <v>2865</v>
      </c>
      <c r="T2056" s="668" t="s">
        <v>1068</v>
      </c>
    </row>
    <row r="2057" spans="1:20">
      <c r="A2057" s="679">
        <v>2252250</v>
      </c>
      <c r="B2057" s="677"/>
      <c r="C2057" s="672"/>
      <c r="D2057" s="672"/>
      <c r="E2057" s="676" t="s">
        <v>2270</v>
      </c>
      <c r="F2057" s="680" t="s">
        <v>2895</v>
      </c>
      <c r="G2057" s="710">
        <v>225</v>
      </c>
      <c r="H2057" s="682">
        <v>2250</v>
      </c>
      <c r="J2057" s="668" t="str">
        <f t="shared" si="358"/>
        <v>(c) Medicare</v>
      </c>
      <c r="L2057" s="668">
        <v>91</v>
      </c>
      <c r="M2057" s="669">
        <v>86</v>
      </c>
      <c r="N2057" s="668"/>
      <c r="O2057" s="668">
        <v>14</v>
      </c>
      <c r="P2057" s="668" t="str">
        <f>IFERROR(VLOOKUP(F2057, [2]MOE!B:C, 2, FALSE), "No")</f>
        <v>No</v>
      </c>
      <c r="Q2057" s="711" t="s">
        <v>1004</v>
      </c>
      <c r="S2057" s="670" t="s">
        <v>2865</v>
      </c>
      <c r="T2057" s="668" t="s">
        <v>23</v>
      </c>
    </row>
    <row r="2058" spans="1:20">
      <c r="A2058" s="671"/>
      <c r="B2058" s="677"/>
      <c r="C2058" s="672"/>
      <c r="D2058" s="672"/>
      <c r="E2058" s="676" t="s">
        <v>2272</v>
      </c>
      <c r="F2058" s="675"/>
      <c r="G2058" s="672"/>
      <c r="H2058" s="676"/>
      <c r="Q2058" s="711"/>
      <c r="S2058" s="670"/>
    </row>
    <row r="2059" spans="1:20">
      <c r="A2059" s="679">
        <v>2312250</v>
      </c>
      <c r="B2059" s="677"/>
      <c r="C2059" s="672"/>
      <c r="D2059" s="672"/>
      <c r="E2059" s="676" t="s">
        <v>2273</v>
      </c>
      <c r="F2059" s="680" t="s">
        <v>2896</v>
      </c>
      <c r="G2059" s="710">
        <v>231</v>
      </c>
      <c r="H2059" s="682">
        <v>2250</v>
      </c>
      <c r="J2059" s="668" t="str">
        <f t="shared" ref="J2059:J2067" si="359">E2059</f>
        <v>1) Louisiana Teachers Retirement</v>
      </c>
      <c r="L2059" s="668">
        <v>92</v>
      </c>
      <c r="M2059" s="669">
        <v>87</v>
      </c>
      <c r="N2059" s="668"/>
      <c r="O2059" s="668">
        <v>14</v>
      </c>
      <c r="P2059" s="668" t="str">
        <f>IFERROR(VLOOKUP(F2059, [2]MOE!B:C, 2, FALSE), "No")</f>
        <v>No</v>
      </c>
      <c r="Q2059" s="711" t="s">
        <v>1004</v>
      </c>
      <c r="S2059" s="670" t="s">
        <v>2865</v>
      </c>
      <c r="T2059" s="668" t="s">
        <v>1074</v>
      </c>
    </row>
    <row r="2060" spans="1:20">
      <c r="A2060" s="679">
        <v>2332250</v>
      </c>
      <c r="B2060" s="677"/>
      <c r="C2060" s="672"/>
      <c r="D2060" s="672"/>
      <c r="E2060" s="676" t="s">
        <v>2275</v>
      </c>
      <c r="F2060" s="680" t="s">
        <v>2897</v>
      </c>
      <c r="G2060" s="710">
        <v>233</v>
      </c>
      <c r="H2060" s="682">
        <v>2250</v>
      </c>
      <c r="J2060" s="668" t="str">
        <f t="shared" si="359"/>
        <v>2) Louisiana School Emp. Retire.</v>
      </c>
      <c r="L2060" s="668">
        <v>92</v>
      </c>
      <c r="M2060" s="669">
        <v>87</v>
      </c>
      <c r="N2060" s="668"/>
      <c r="O2060" s="668">
        <v>14</v>
      </c>
      <c r="P2060" s="668" t="str">
        <f>IFERROR(VLOOKUP(F2060, [2]MOE!B:C, 2, FALSE), "No")</f>
        <v>No</v>
      </c>
      <c r="Q2060" s="711" t="s">
        <v>1004</v>
      </c>
      <c r="S2060" s="670" t="s">
        <v>2865</v>
      </c>
      <c r="T2060" s="668" t="s">
        <v>2277</v>
      </c>
    </row>
    <row r="2061" spans="1:20">
      <c r="A2061" s="679">
        <v>2392250</v>
      </c>
      <c r="B2061" s="677"/>
      <c r="C2061" s="672"/>
      <c r="D2061" s="672"/>
      <c r="E2061" s="676" t="s">
        <v>2278</v>
      </c>
      <c r="F2061" s="680" t="s">
        <v>2898</v>
      </c>
      <c r="G2061" s="710">
        <v>239</v>
      </c>
      <c r="H2061" s="682">
        <v>2250</v>
      </c>
      <c r="J2061" s="668" t="str">
        <f t="shared" si="359"/>
        <v>3) Other Retirement</v>
      </c>
      <c r="L2061" s="668">
        <v>92</v>
      </c>
      <c r="M2061" s="669">
        <v>87</v>
      </c>
      <c r="N2061" s="668"/>
      <c r="O2061" s="668">
        <v>14</v>
      </c>
      <c r="P2061" s="668" t="str">
        <f>IFERROR(VLOOKUP(F2061, [2]MOE!B:C, 2, FALSE), "No")</f>
        <v>No</v>
      </c>
      <c r="Q2061" s="711" t="s">
        <v>1004</v>
      </c>
      <c r="S2061" s="670" t="s">
        <v>2865</v>
      </c>
      <c r="T2061" s="668" t="s">
        <v>1080</v>
      </c>
    </row>
    <row r="2062" spans="1:20">
      <c r="A2062" s="679">
        <v>2502250</v>
      </c>
      <c r="B2062" s="677"/>
      <c r="C2062" s="672"/>
      <c r="D2062" s="672"/>
      <c r="E2062" s="676" t="s">
        <v>2280</v>
      </c>
      <c r="F2062" s="680" t="s">
        <v>2899</v>
      </c>
      <c r="G2062" s="710">
        <v>250</v>
      </c>
      <c r="H2062" s="682">
        <v>2250</v>
      </c>
      <c r="J2062" s="668" t="str">
        <f t="shared" si="359"/>
        <v>(e) Unemployment Compensation</v>
      </c>
      <c r="L2062" s="668">
        <v>93</v>
      </c>
      <c r="M2062" s="669">
        <v>88</v>
      </c>
      <c r="N2062" s="668"/>
      <c r="O2062" s="668">
        <v>14</v>
      </c>
      <c r="P2062" s="668" t="str">
        <f>IFERROR(VLOOKUP(F2062, [2]MOE!B:C, 2, FALSE), "No")</f>
        <v>No</v>
      </c>
      <c r="Q2062" s="711" t="s">
        <v>1004</v>
      </c>
      <c r="S2062" s="670" t="s">
        <v>2865</v>
      </c>
      <c r="T2062" s="668" t="s">
        <v>1081</v>
      </c>
    </row>
    <row r="2063" spans="1:20">
      <c r="A2063" s="679">
        <v>2602250</v>
      </c>
      <c r="B2063" s="677"/>
      <c r="C2063" s="672"/>
      <c r="D2063" s="672"/>
      <c r="E2063" s="676" t="s">
        <v>2282</v>
      </c>
      <c r="F2063" s="680" t="s">
        <v>2900</v>
      </c>
      <c r="G2063" s="710">
        <v>260</v>
      </c>
      <c r="H2063" s="682">
        <v>2250</v>
      </c>
      <c r="J2063" s="668" t="str">
        <f t="shared" si="359"/>
        <v>(f) Workmen's Compensation</v>
      </c>
      <c r="L2063" s="668">
        <v>95</v>
      </c>
      <c r="M2063" s="669">
        <v>90</v>
      </c>
      <c r="N2063" s="668"/>
      <c r="O2063" s="668">
        <v>14</v>
      </c>
      <c r="P2063" s="668" t="str">
        <f>IFERROR(VLOOKUP(F2063, [2]MOE!B:C, 2, FALSE), "No")</f>
        <v>No</v>
      </c>
      <c r="Q2063" s="711" t="s">
        <v>1004</v>
      </c>
      <c r="S2063" s="670" t="s">
        <v>2865</v>
      </c>
      <c r="T2063" s="668" t="s">
        <v>1083</v>
      </c>
    </row>
    <row r="2064" spans="1:20">
      <c r="A2064" s="679">
        <v>2702250</v>
      </c>
      <c r="B2064" s="677"/>
      <c r="C2064" s="672"/>
      <c r="D2064" s="672"/>
      <c r="E2064" s="676" t="s">
        <v>2284</v>
      </c>
      <c r="F2064" s="680" t="s">
        <v>2901</v>
      </c>
      <c r="G2064" s="710">
        <v>270</v>
      </c>
      <c r="H2064" s="682">
        <v>2250</v>
      </c>
      <c r="J2064" s="668" t="str">
        <f t="shared" si="359"/>
        <v>(g) Health Benefits (retirees)</v>
      </c>
      <c r="L2064" s="668">
        <v>94</v>
      </c>
      <c r="M2064" s="669">
        <v>89</v>
      </c>
      <c r="N2064" s="668"/>
      <c r="O2064" s="668">
        <v>14</v>
      </c>
      <c r="P2064" s="668" t="str">
        <f>IFERROR(VLOOKUP(F2064, [2]MOE!B:C, 2, FALSE), "No")</f>
        <v>No</v>
      </c>
      <c r="Q2064" s="711" t="s">
        <v>1004</v>
      </c>
      <c r="S2064" s="670" t="s">
        <v>2865</v>
      </c>
      <c r="T2064" s="668" t="s">
        <v>1085</v>
      </c>
    </row>
    <row r="2065" spans="1:20">
      <c r="A2065" s="679">
        <v>2812250</v>
      </c>
      <c r="B2065" s="677"/>
      <c r="C2065" s="672"/>
      <c r="D2065" s="672"/>
      <c r="E2065" s="676" t="s">
        <v>2286</v>
      </c>
      <c r="F2065" s="680" t="s">
        <v>2902</v>
      </c>
      <c r="G2065" s="710">
        <v>281</v>
      </c>
      <c r="H2065" s="682">
        <v>2250</v>
      </c>
      <c r="J2065" s="668" t="str">
        <f t="shared" si="359"/>
        <v>(h) Sick Leave Severance Pay</v>
      </c>
      <c r="L2065" s="668">
        <v>95</v>
      </c>
      <c r="M2065" s="669">
        <v>90</v>
      </c>
      <c r="N2065" s="668"/>
      <c r="O2065" s="668">
        <v>14</v>
      </c>
      <c r="P2065" s="668" t="str">
        <f>IFERROR(VLOOKUP(F2065, [2]MOE!B:C, 2, FALSE), "No")</f>
        <v>No</v>
      </c>
      <c r="Q2065" s="711" t="s">
        <v>1004</v>
      </c>
      <c r="S2065" s="670" t="s">
        <v>2865</v>
      </c>
      <c r="T2065" s="668" t="s">
        <v>1087</v>
      </c>
    </row>
    <row r="2066" spans="1:20">
      <c r="A2066" s="679">
        <v>2822250</v>
      </c>
      <c r="B2066" s="677"/>
      <c r="C2066" s="672"/>
      <c r="D2066" s="672"/>
      <c r="E2066" s="676" t="s">
        <v>2288</v>
      </c>
      <c r="F2066" s="680" t="s">
        <v>2903</v>
      </c>
      <c r="G2066" s="710">
        <v>282</v>
      </c>
      <c r="H2066" s="682">
        <v>2250</v>
      </c>
      <c r="J2066" s="668" t="str">
        <f t="shared" si="359"/>
        <v>(i) Annual Leave Severance Pay</v>
      </c>
      <c r="L2066" s="668">
        <v>95</v>
      </c>
      <c r="M2066" s="669">
        <v>90</v>
      </c>
      <c r="N2066" s="668"/>
      <c r="O2066" s="668">
        <v>14</v>
      </c>
      <c r="P2066" s="668" t="str">
        <f>IFERROR(VLOOKUP(F2066, [2]MOE!B:C, 2, FALSE), "No")</f>
        <v>No</v>
      </c>
      <c r="Q2066" s="711" t="s">
        <v>1004</v>
      </c>
      <c r="S2066" s="670" t="s">
        <v>2865</v>
      </c>
      <c r="T2066" s="668" t="s">
        <v>1089</v>
      </c>
    </row>
    <row r="2067" spans="1:20">
      <c r="A2067" s="679">
        <v>2902250</v>
      </c>
      <c r="B2067" s="677"/>
      <c r="C2067" s="672"/>
      <c r="D2067" s="672"/>
      <c r="E2067" s="676" t="s">
        <v>2290</v>
      </c>
      <c r="F2067" s="680" t="s">
        <v>2904</v>
      </c>
      <c r="G2067" s="710">
        <v>290</v>
      </c>
      <c r="H2067" s="682">
        <v>2250</v>
      </c>
      <c r="J2067" s="668" t="str">
        <f t="shared" si="359"/>
        <v>(j) Other Employee Benefits</v>
      </c>
      <c r="L2067" s="668">
        <v>95</v>
      </c>
      <c r="M2067" s="669">
        <v>90</v>
      </c>
      <c r="N2067" s="668"/>
      <c r="O2067" s="668">
        <v>14</v>
      </c>
      <c r="P2067" s="668" t="str">
        <f>IFERROR(VLOOKUP(F2067, [2]MOE!B:C, 2, FALSE), "No")</f>
        <v>No</v>
      </c>
      <c r="Q2067" s="711" t="s">
        <v>1004</v>
      </c>
      <c r="S2067" s="670" t="s">
        <v>2865</v>
      </c>
      <c r="T2067" s="668" t="s">
        <v>1092</v>
      </c>
    </row>
    <row r="2068" spans="1:20">
      <c r="A2068" s="671"/>
      <c r="B2068" s="677"/>
      <c r="C2068" s="678">
        <v>59</v>
      </c>
      <c r="D2068" s="927" t="s">
        <v>2905</v>
      </c>
      <c r="E2068" s="926"/>
      <c r="F2068" s="675"/>
      <c r="G2068" s="672"/>
      <c r="H2068" s="676"/>
      <c r="Q2068" s="711"/>
      <c r="S2068" s="670"/>
    </row>
    <row r="2069" spans="1:20">
      <c r="A2069" s="671"/>
      <c r="B2069" s="677"/>
      <c r="C2069" s="672"/>
      <c r="D2069" s="672" t="s">
        <v>759</v>
      </c>
      <c r="E2069" s="676" t="s">
        <v>2906</v>
      </c>
      <c r="F2069" s="675"/>
      <c r="G2069" s="672"/>
      <c r="H2069" s="676"/>
      <c r="Q2069" s="711"/>
      <c r="S2069" s="670"/>
    </row>
    <row r="2070" spans="1:20">
      <c r="A2070" s="679">
        <v>1112290</v>
      </c>
      <c r="B2070" s="677"/>
      <c r="C2070" s="672"/>
      <c r="D2070" s="672"/>
      <c r="E2070" s="676" t="s">
        <v>2511</v>
      </c>
      <c r="F2070" s="680" t="s">
        <v>2907</v>
      </c>
      <c r="G2070" s="710">
        <v>111</v>
      </c>
      <c r="H2070" s="682">
        <v>2290</v>
      </c>
      <c r="J2070" s="668" t="str">
        <f t="shared" ref="J2070:J2076" si="360">E2070</f>
        <v>(1) Director/Supervisors</v>
      </c>
      <c r="L2070" s="668">
        <v>81</v>
      </c>
      <c r="M2070" s="669">
        <v>76</v>
      </c>
      <c r="N2070" s="668"/>
      <c r="O2070" s="668">
        <v>14</v>
      </c>
      <c r="P2070" s="668" t="str">
        <f>IFERROR(VLOOKUP(F2070, [2]MOE!B:C, 2, FALSE), "No")</f>
        <v>No</v>
      </c>
      <c r="Q2070" s="711" t="s">
        <v>1004</v>
      </c>
      <c r="S2070" s="670" t="s">
        <v>2908</v>
      </c>
      <c r="T2070" s="668" t="s">
        <v>2218</v>
      </c>
    </row>
    <row r="2071" spans="1:20">
      <c r="A2071" s="679">
        <v>1132290</v>
      </c>
      <c r="B2071" s="677"/>
      <c r="C2071" s="672"/>
      <c r="D2071" s="672"/>
      <c r="E2071" s="676" t="s">
        <v>2514</v>
      </c>
      <c r="F2071" s="680" t="s">
        <v>2909</v>
      </c>
      <c r="G2071" s="710">
        <v>113</v>
      </c>
      <c r="H2071" s="682">
        <v>2290</v>
      </c>
      <c r="J2071" s="668" t="str">
        <f t="shared" si="360"/>
        <v>(2) Specialists</v>
      </c>
      <c r="L2071" s="668">
        <v>83</v>
      </c>
      <c r="M2071" s="669">
        <v>78</v>
      </c>
      <c r="N2071" s="668"/>
      <c r="O2071" s="668">
        <v>14</v>
      </c>
      <c r="P2071" s="668" t="str">
        <f>IFERROR(VLOOKUP(F2071, [2]MOE!B:C, 2, FALSE), "No")</f>
        <v>No</v>
      </c>
      <c r="Q2071" s="711" t="s">
        <v>1004</v>
      </c>
      <c r="S2071" s="670" t="s">
        <v>2908</v>
      </c>
      <c r="T2071" s="668" t="s">
        <v>2221</v>
      </c>
    </row>
    <row r="2072" spans="1:20">
      <c r="A2072" s="679">
        <v>1142290</v>
      </c>
      <c r="B2072" s="677"/>
      <c r="C2072" s="672"/>
      <c r="D2072" s="672"/>
      <c r="E2072" s="676" t="s">
        <v>1852</v>
      </c>
      <c r="F2072" s="680" t="s">
        <v>2910</v>
      </c>
      <c r="G2072" s="710">
        <v>114</v>
      </c>
      <c r="H2072" s="682">
        <v>2290</v>
      </c>
      <c r="J2072" s="668" t="str">
        <f t="shared" si="360"/>
        <v>(3) Clerical/Secretarial</v>
      </c>
      <c r="L2072" s="668">
        <v>84</v>
      </c>
      <c r="M2072" s="669">
        <v>79</v>
      </c>
      <c r="N2072" s="668"/>
      <c r="O2072" s="668">
        <v>14</v>
      </c>
      <c r="P2072" s="668" t="str">
        <f>IFERROR(VLOOKUP(F2072, [2]MOE!B:C, 2, FALSE), "No")</f>
        <v>No</v>
      </c>
      <c r="Q2072" s="711" t="s">
        <v>1004</v>
      </c>
      <c r="S2072" s="670" t="s">
        <v>2908</v>
      </c>
      <c r="T2072" s="668" t="s">
        <v>1854</v>
      </c>
    </row>
    <row r="2073" spans="1:20">
      <c r="A2073" s="679">
        <v>1002290</v>
      </c>
      <c r="B2073" s="677"/>
      <c r="C2073" s="672"/>
      <c r="D2073" s="672"/>
      <c r="E2073" s="676" t="s">
        <v>2133</v>
      </c>
      <c r="F2073" s="680" t="s">
        <v>2911</v>
      </c>
      <c r="G2073" s="710">
        <v>100</v>
      </c>
      <c r="H2073" s="682">
        <v>2290</v>
      </c>
      <c r="J2073" s="668" t="str">
        <f t="shared" si="360"/>
        <v>(4) Other Salaries</v>
      </c>
      <c r="L2073" s="668">
        <v>86</v>
      </c>
      <c r="M2073" s="669">
        <v>81</v>
      </c>
      <c r="N2073" s="668"/>
      <c r="O2073" s="668">
        <v>14</v>
      </c>
      <c r="P2073" s="668" t="str">
        <f>IFERROR(VLOOKUP(F2073, [2]MOE!B:C, 2, FALSE), "No")</f>
        <v>No</v>
      </c>
      <c r="Q2073" s="711" t="s">
        <v>1004</v>
      </c>
      <c r="S2073" s="670" t="s">
        <v>2908</v>
      </c>
      <c r="T2073" s="668" t="s">
        <v>1947</v>
      </c>
    </row>
    <row r="2074" spans="1:20">
      <c r="A2074" s="679">
        <v>1202290</v>
      </c>
      <c r="B2074" s="677"/>
      <c r="C2074" s="672"/>
      <c r="D2074" s="672"/>
      <c r="E2074" s="676" t="s">
        <v>2912</v>
      </c>
      <c r="F2074" s="680" t="s">
        <v>2913</v>
      </c>
      <c r="G2074" s="710">
        <v>120</v>
      </c>
      <c r="H2074" s="682">
        <v>2290</v>
      </c>
      <c r="J2074" s="668" t="str">
        <f t="shared" si="360"/>
        <v>(5) Substitute/Temporary Employees</v>
      </c>
      <c r="L2074" s="668">
        <v>86</v>
      </c>
      <c r="M2074" s="669">
        <v>81</v>
      </c>
      <c r="N2074" s="668"/>
      <c r="O2074" s="668">
        <v>14</v>
      </c>
      <c r="P2074" s="668" t="str">
        <f>IFERROR(VLOOKUP(F2074, [2]MOE!B:C, 2, FALSE), "No")</f>
        <v>No</v>
      </c>
      <c r="Q2074" s="711" t="s">
        <v>1004</v>
      </c>
      <c r="S2074" s="670" t="s">
        <v>2908</v>
      </c>
      <c r="T2074" s="668" t="s">
        <v>2178</v>
      </c>
    </row>
    <row r="2075" spans="1:20">
      <c r="A2075" s="679">
        <v>1402290</v>
      </c>
      <c r="B2075" s="677"/>
      <c r="C2075" s="672"/>
      <c r="D2075" s="672"/>
      <c r="E2075" s="676" t="s">
        <v>1111</v>
      </c>
      <c r="F2075" s="680" t="s">
        <v>2914</v>
      </c>
      <c r="G2075" s="710">
        <v>140</v>
      </c>
      <c r="H2075" s="682">
        <v>2290</v>
      </c>
      <c r="J2075" s="668" t="str">
        <f t="shared" si="360"/>
        <v>(6) Sabbatical Leave</v>
      </c>
      <c r="L2075" s="668">
        <v>86</v>
      </c>
      <c r="M2075" s="669">
        <v>81</v>
      </c>
      <c r="N2075" s="668"/>
      <c r="O2075" s="668">
        <v>14</v>
      </c>
      <c r="P2075" s="668" t="str">
        <f>IFERROR(VLOOKUP(F2075, [2]MOE!B:C, 2, FALSE), "No")</f>
        <v>No</v>
      </c>
      <c r="Q2075" s="711" t="s">
        <v>1004</v>
      </c>
      <c r="S2075" s="670" t="s">
        <v>2908</v>
      </c>
      <c r="T2075" s="668" t="s">
        <v>1019</v>
      </c>
    </row>
    <row r="2076" spans="1:20">
      <c r="A2076" s="679">
        <v>3002290</v>
      </c>
      <c r="B2076" s="677"/>
      <c r="C2076" s="672"/>
      <c r="D2076" s="672" t="s">
        <v>777</v>
      </c>
      <c r="E2076" s="676" t="s">
        <v>2566</v>
      </c>
      <c r="F2076" s="680" t="s">
        <v>2915</v>
      </c>
      <c r="G2076" s="710">
        <v>300</v>
      </c>
      <c r="H2076" s="682">
        <v>2290</v>
      </c>
      <c r="J2076" s="668" t="str">
        <f t="shared" si="360"/>
        <v>Purchased Professional and Tech Svcs</v>
      </c>
      <c r="L2076" s="668">
        <v>101</v>
      </c>
      <c r="M2076" s="669">
        <v>96</v>
      </c>
      <c r="N2076" s="668"/>
      <c r="O2076" s="668">
        <v>14</v>
      </c>
      <c r="P2076" s="668" t="str">
        <f>IFERROR(VLOOKUP(F2076, [2]MOE!B:C, 2, FALSE), "No")</f>
        <v>No</v>
      </c>
      <c r="Q2076" s="711"/>
      <c r="S2076" s="670" t="s">
        <v>2908</v>
      </c>
      <c r="T2076" s="668" t="s">
        <v>2566</v>
      </c>
    </row>
    <row r="2077" spans="1:20">
      <c r="A2077" s="671"/>
      <c r="B2077" s="677"/>
      <c r="C2077" s="672"/>
      <c r="D2077" s="672" t="s">
        <v>801</v>
      </c>
      <c r="E2077" s="676" t="s">
        <v>250</v>
      </c>
      <c r="F2077" s="675"/>
      <c r="G2077" s="672"/>
      <c r="H2077" s="676"/>
      <c r="Q2077" s="711"/>
      <c r="S2077" s="670"/>
    </row>
    <row r="2078" spans="1:20">
      <c r="A2078" s="679">
        <v>4302290</v>
      </c>
      <c r="B2078" s="677"/>
      <c r="C2078" s="672"/>
      <c r="D2078" s="672"/>
      <c r="E2078" s="676" t="s">
        <v>1115</v>
      </c>
      <c r="F2078" s="680" t="s">
        <v>2916</v>
      </c>
      <c r="G2078" s="710">
        <v>430</v>
      </c>
      <c r="H2078" s="682">
        <v>2290</v>
      </c>
      <c r="J2078" s="668" t="str">
        <f t="shared" ref="J2078:J2080" si="361">E2078</f>
        <v>(1) Repairs and Maintenance Services</v>
      </c>
      <c r="L2078" s="668">
        <v>107</v>
      </c>
      <c r="M2078" s="669">
        <v>102</v>
      </c>
      <c r="N2078" s="668"/>
      <c r="O2078" s="668">
        <v>14</v>
      </c>
      <c r="P2078" s="668" t="str">
        <f>IFERROR(VLOOKUP(F2078, [2]MOE!B:C, 2, FALSE), "No")</f>
        <v>No</v>
      </c>
      <c r="Q2078" s="711"/>
      <c r="S2078" s="670" t="s">
        <v>2908</v>
      </c>
      <c r="T2078" s="668" t="s">
        <v>1023</v>
      </c>
    </row>
    <row r="2079" spans="1:20">
      <c r="A2079" s="679">
        <v>4422290</v>
      </c>
      <c r="B2079" s="677"/>
      <c r="C2079" s="672"/>
      <c r="D2079" s="672"/>
      <c r="E2079" s="676" t="s">
        <v>1117</v>
      </c>
      <c r="F2079" s="680" t="s">
        <v>2917</v>
      </c>
      <c r="G2079" s="710">
        <v>442</v>
      </c>
      <c r="H2079" s="682">
        <v>2290</v>
      </c>
      <c r="J2079" s="668" t="str">
        <f t="shared" si="361"/>
        <v>(2) Rental of Equipment</v>
      </c>
      <c r="L2079" s="668">
        <v>106</v>
      </c>
      <c r="M2079" s="669">
        <v>101</v>
      </c>
      <c r="N2079" s="668"/>
      <c r="O2079" s="668">
        <v>14</v>
      </c>
      <c r="P2079" s="668" t="str">
        <f>IFERROR(VLOOKUP(F2079, [2]MOE!B:C, 2, FALSE), "No")</f>
        <v>No</v>
      </c>
      <c r="Q2079" s="711"/>
      <c r="S2079" s="670" t="s">
        <v>2908</v>
      </c>
      <c r="T2079" s="668" t="s">
        <v>1025</v>
      </c>
    </row>
    <row r="2080" spans="1:20">
      <c r="A2080" s="679">
        <v>4002290</v>
      </c>
      <c r="B2080" s="677"/>
      <c r="C2080" s="672"/>
      <c r="D2080" s="672"/>
      <c r="E2080" s="676" t="s">
        <v>1119</v>
      </c>
      <c r="F2080" s="680" t="s">
        <v>2918</v>
      </c>
      <c r="G2080" s="710">
        <v>400</v>
      </c>
      <c r="H2080" s="682">
        <v>2290</v>
      </c>
      <c r="J2080" s="668" t="str">
        <f t="shared" si="361"/>
        <v>(3) Other Purchased Property Services</v>
      </c>
      <c r="L2080" s="668">
        <v>108</v>
      </c>
      <c r="M2080" s="669">
        <v>103</v>
      </c>
      <c r="N2080" s="668"/>
      <c r="O2080" s="668">
        <v>14</v>
      </c>
      <c r="P2080" s="668" t="str">
        <f>IFERROR(VLOOKUP(F2080, [2]MOE!B:C, 2, FALSE), "No")</f>
        <v>No</v>
      </c>
      <c r="Q2080" s="711"/>
      <c r="S2080" s="670" t="s">
        <v>2908</v>
      </c>
      <c r="T2080" s="668" t="s">
        <v>1027</v>
      </c>
    </row>
    <row r="2081" spans="1:20">
      <c r="A2081" s="671"/>
      <c r="B2081" s="677"/>
      <c r="C2081" s="672"/>
      <c r="D2081" s="672" t="s">
        <v>805</v>
      </c>
      <c r="E2081" s="676" t="s">
        <v>252</v>
      </c>
      <c r="F2081" s="675"/>
      <c r="G2081" s="672"/>
      <c r="H2081" s="676"/>
      <c r="Q2081" s="711"/>
      <c r="S2081" s="670"/>
    </row>
    <row r="2082" spans="1:20">
      <c r="A2082" s="679">
        <v>5822290</v>
      </c>
      <c r="B2082" s="677"/>
      <c r="C2082" s="672"/>
      <c r="D2082" s="672"/>
      <c r="E2082" s="676" t="s">
        <v>1864</v>
      </c>
      <c r="F2082" s="680" t="s">
        <v>2919</v>
      </c>
      <c r="G2082" s="710">
        <v>582</v>
      </c>
      <c r="H2082" s="682">
        <v>2290</v>
      </c>
      <c r="J2082" s="668" t="str">
        <f t="shared" ref="J2082:J2083" si="362">E2082</f>
        <v>(1) Travel Expense Reimbursement</v>
      </c>
      <c r="L2082" s="668">
        <v>118</v>
      </c>
      <c r="M2082" s="669">
        <v>109</v>
      </c>
      <c r="N2082" s="668"/>
      <c r="O2082" s="668">
        <v>14</v>
      </c>
      <c r="P2082" s="668" t="str">
        <f>IFERROR(VLOOKUP(F2082, [2]MOE!B:C, 2, FALSE), "No")</f>
        <v>No</v>
      </c>
      <c r="Q2082" s="711"/>
      <c r="S2082" s="670" t="s">
        <v>2908</v>
      </c>
      <c r="T2082" s="668" t="s">
        <v>1039</v>
      </c>
    </row>
    <row r="2083" spans="1:20">
      <c r="A2083" s="679">
        <v>5002290</v>
      </c>
      <c r="B2083" s="677"/>
      <c r="C2083" s="672"/>
      <c r="D2083" s="672"/>
      <c r="E2083" s="676" t="s">
        <v>1866</v>
      </c>
      <c r="F2083" s="680" t="s">
        <v>2920</v>
      </c>
      <c r="G2083" s="710">
        <v>500</v>
      </c>
      <c r="H2083" s="682">
        <v>2290</v>
      </c>
      <c r="J2083" s="668" t="str">
        <f t="shared" si="362"/>
        <v>(2) Other Purchased Services</v>
      </c>
      <c r="L2083" s="668">
        <v>119</v>
      </c>
      <c r="M2083" s="669">
        <v>110</v>
      </c>
      <c r="N2083" s="668"/>
      <c r="O2083" s="668">
        <v>14</v>
      </c>
      <c r="P2083" s="668" t="str">
        <f>IFERROR(VLOOKUP(F2083, [2]MOE!B:C, 2, FALSE), "No")</f>
        <v>No</v>
      </c>
      <c r="Q2083" s="711"/>
      <c r="S2083" s="670" t="s">
        <v>2908</v>
      </c>
      <c r="T2083" s="668" t="s">
        <v>252</v>
      </c>
    </row>
    <row r="2084" spans="1:20">
      <c r="A2084" s="671"/>
      <c r="B2084" s="677"/>
      <c r="C2084" s="672"/>
      <c r="D2084" s="672" t="s">
        <v>850</v>
      </c>
      <c r="E2084" s="676" t="s">
        <v>254</v>
      </c>
      <c r="F2084" s="675"/>
      <c r="G2084" s="672"/>
      <c r="H2084" s="676"/>
      <c r="Q2084" s="711"/>
      <c r="S2084" s="670"/>
    </row>
    <row r="2085" spans="1:20">
      <c r="A2085" s="679">
        <v>6152290</v>
      </c>
      <c r="B2085" s="677"/>
      <c r="C2085" s="672"/>
      <c r="D2085" s="672"/>
      <c r="E2085" s="676" t="s">
        <v>1139</v>
      </c>
      <c r="F2085" s="680" t="s">
        <v>2921</v>
      </c>
      <c r="G2085" s="710">
        <v>615</v>
      </c>
      <c r="H2085" s="682">
        <v>2290</v>
      </c>
      <c r="J2085" s="668" t="str">
        <f t="shared" ref="J2085:J2087" si="363">E2085</f>
        <v>(1) Technology-Related Supplies</v>
      </c>
      <c r="L2085" s="668">
        <v>126</v>
      </c>
      <c r="M2085" s="669">
        <v>117</v>
      </c>
      <c r="N2085" s="668"/>
      <c r="O2085" s="668">
        <v>14</v>
      </c>
      <c r="P2085" s="668" t="str">
        <f>IFERROR(VLOOKUP(F2085, [2]MOE!B:C, 2, FALSE), "No")</f>
        <v>No</v>
      </c>
      <c r="Q2085" s="711" t="s">
        <v>1045</v>
      </c>
      <c r="S2085" s="670" t="s">
        <v>2908</v>
      </c>
      <c r="T2085" s="668" t="s">
        <v>1043</v>
      </c>
    </row>
    <row r="2086" spans="1:20">
      <c r="A2086" s="679">
        <v>6102290</v>
      </c>
      <c r="B2086" s="677"/>
      <c r="C2086" s="672"/>
      <c r="D2086" s="672"/>
      <c r="E2086" s="676" t="s">
        <v>1141</v>
      </c>
      <c r="F2086" s="680" t="s">
        <v>2922</v>
      </c>
      <c r="G2086" s="710">
        <v>610</v>
      </c>
      <c r="H2086" s="682">
        <v>2290</v>
      </c>
      <c r="J2086" s="668" t="str">
        <f t="shared" si="363"/>
        <v>(2) Materials and Supplies</v>
      </c>
      <c r="L2086" s="668">
        <v>122</v>
      </c>
      <c r="M2086" s="669">
        <v>113</v>
      </c>
      <c r="N2086" s="668"/>
      <c r="O2086" s="668">
        <v>14</v>
      </c>
      <c r="P2086" s="668" t="str">
        <f>IFERROR(VLOOKUP(F2086, [2]MOE!B:C, 2, FALSE), "No")</f>
        <v>No</v>
      </c>
      <c r="Q2086" s="711" t="s">
        <v>1045</v>
      </c>
      <c r="S2086" s="670" t="s">
        <v>2908</v>
      </c>
      <c r="T2086" s="668" t="s">
        <v>39</v>
      </c>
    </row>
    <row r="2087" spans="1:20">
      <c r="A2087" s="679">
        <v>6002290</v>
      </c>
      <c r="B2087" s="677"/>
      <c r="C2087" s="672"/>
      <c r="D2087" s="672"/>
      <c r="E2087" s="676" t="s">
        <v>1870</v>
      </c>
      <c r="F2087" s="680" t="s">
        <v>2923</v>
      </c>
      <c r="G2087" s="710">
        <v>600</v>
      </c>
      <c r="H2087" s="682">
        <v>2290</v>
      </c>
      <c r="J2087" s="668" t="str">
        <f t="shared" si="363"/>
        <v>(3) Other Supplies</v>
      </c>
      <c r="L2087" s="668">
        <v>126</v>
      </c>
      <c r="M2087" s="669">
        <v>117</v>
      </c>
      <c r="N2087" s="668"/>
      <c r="O2087" s="668">
        <v>14</v>
      </c>
      <c r="P2087" s="668" t="str">
        <f>IFERROR(VLOOKUP(F2087, [2]MOE!B:C, 2, FALSE), "No")</f>
        <v>No</v>
      </c>
      <c r="Q2087" s="711"/>
      <c r="S2087" s="670" t="s">
        <v>2908</v>
      </c>
      <c r="T2087" s="668" t="s">
        <v>1050</v>
      </c>
    </row>
    <row r="2088" spans="1:20">
      <c r="A2088" s="671"/>
      <c r="B2088" s="677"/>
      <c r="C2088" s="672"/>
      <c r="D2088" s="672" t="s">
        <v>853</v>
      </c>
      <c r="E2088" s="676" t="s">
        <v>1052</v>
      </c>
      <c r="F2088" s="675"/>
      <c r="G2088" s="672"/>
      <c r="H2088" s="676"/>
      <c r="Q2088" s="711"/>
      <c r="S2088" s="670"/>
    </row>
    <row r="2089" spans="1:20">
      <c r="A2089" s="679">
        <v>7342290</v>
      </c>
      <c r="B2089" s="677"/>
      <c r="C2089" s="672"/>
      <c r="D2089" s="672"/>
      <c r="E2089" s="676" t="s">
        <v>1147</v>
      </c>
      <c r="F2089" s="680" t="s">
        <v>2924</v>
      </c>
      <c r="G2089" s="710">
        <v>734</v>
      </c>
      <c r="H2089" s="682">
        <v>2290</v>
      </c>
      <c r="J2089" s="668" t="str">
        <f t="shared" ref="J2089:J2092" si="364">E2089</f>
        <v>(1) Technology-Related Hardware</v>
      </c>
      <c r="L2089" s="668">
        <v>131</v>
      </c>
      <c r="M2089" s="669">
        <v>122</v>
      </c>
      <c r="N2089" s="668"/>
      <c r="O2089" s="668">
        <v>14</v>
      </c>
      <c r="P2089" s="668" t="str">
        <f>IFERROR(VLOOKUP(F2089, [2]MOE!B:C, 2, FALSE), "No")</f>
        <v>No</v>
      </c>
      <c r="Q2089" s="711"/>
      <c r="S2089" s="670" t="s">
        <v>2908</v>
      </c>
      <c r="T2089" s="668" t="s">
        <v>1053</v>
      </c>
    </row>
    <row r="2090" spans="1:20">
      <c r="A2090" s="679">
        <v>7352290</v>
      </c>
      <c r="B2090" s="677"/>
      <c r="C2090" s="672"/>
      <c r="D2090" s="672"/>
      <c r="E2090" s="676" t="s">
        <v>1149</v>
      </c>
      <c r="F2090" s="680" t="s">
        <v>2925</v>
      </c>
      <c r="G2090" s="710">
        <v>735</v>
      </c>
      <c r="H2090" s="682">
        <v>2290</v>
      </c>
      <c r="J2090" s="668" t="str">
        <f t="shared" si="364"/>
        <v>(2) Technology Software</v>
      </c>
      <c r="L2090" s="668">
        <v>131</v>
      </c>
      <c r="M2090" s="669">
        <v>122</v>
      </c>
      <c r="N2090" s="668"/>
      <c r="O2090" s="668">
        <v>14</v>
      </c>
      <c r="P2090" s="668" t="str">
        <f>IFERROR(VLOOKUP(F2090, [2]MOE!B:C, 2, FALSE), "No")</f>
        <v>No</v>
      </c>
      <c r="Q2090" s="711"/>
      <c r="S2090" s="670" t="s">
        <v>2908</v>
      </c>
      <c r="T2090" s="668" t="s">
        <v>1055</v>
      </c>
    </row>
    <row r="2091" spans="1:20">
      <c r="A2091" s="679">
        <v>7302290</v>
      </c>
      <c r="B2091" s="677"/>
      <c r="C2091" s="672"/>
      <c r="D2091" s="672"/>
      <c r="E2091" s="676" t="s">
        <v>1151</v>
      </c>
      <c r="F2091" s="680" t="s">
        <v>2926</v>
      </c>
      <c r="G2091" s="710">
        <v>730</v>
      </c>
      <c r="H2091" s="682">
        <v>2290</v>
      </c>
      <c r="J2091" s="668" t="str">
        <f t="shared" si="364"/>
        <v>(3) All Other Equipment</v>
      </c>
      <c r="L2091" s="668">
        <v>131</v>
      </c>
      <c r="M2091" s="669">
        <v>122</v>
      </c>
      <c r="N2091" s="668"/>
      <c r="O2091" s="668">
        <v>14</v>
      </c>
      <c r="P2091" s="668" t="str">
        <f>IFERROR(VLOOKUP(F2091, [2]MOE!B:C, 2, FALSE), "No")</f>
        <v>No</v>
      </c>
      <c r="Q2091" s="711"/>
      <c r="S2091" s="670" t="s">
        <v>2908</v>
      </c>
      <c r="T2091" s="668" t="s">
        <v>1057</v>
      </c>
    </row>
    <row r="2092" spans="1:20">
      <c r="A2092" s="679">
        <v>7002290</v>
      </c>
      <c r="B2092" s="677"/>
      <c r="C2092" s="672"/>
      <c r="D2092" s="672"/>
      <c r="E2092" s="676" t="s">
        <v>1153</v>
      </c>
      <c r="F2092" s="680" t="s">
        <v>2927</v>
      </c>
      <c r="G2092" s="710">
        <v>700</v>
      </c>
      <c r="H2092" s="682">
        <v>2290</v>
      </c>
      <c r="J2092" s="668" t="str">
        <f t="shared" si="364"/>
        <v>(4) Other Property</v>
      </c>
      <c r="L2092" s="668">
        <v>132</v>
      </c>
      <c r="M2092" s="669">
        <v>123</v>
      </c>
      <c r="N2092" s="668"/>
      <c r="O2092" s="668">
        <v>14</v>
      </c>
      <c r="P2092" s="668" t="str">
        <f>IFERROR(VLOOKUP(F2092, [2]MOE!B:C, 2, FALSE), "No")</f>
        <v>No</v>
      </c>
      <c r="Q2092" s="711"/>
      <c r="S2092" s="670" t="s">
        <v>2908</v>
      </c>
      <c r="T2092" s="668" t="s">
        <v>1059</v>
      </c>
    </row>
    <row r="2093" spans="1:20">
      <c r="A2093" s="671"/>
      <c r="B2093" s="677"/>
      <c r="C2093" s="672"/>
      <c r="D2093" s="672" t="s">
        <v>856</v>
      </c>
      <c r="E2093" s="676" t="s">
        <v>256</v>
      </c>
      <c r="F2093" s="675"/>
      <c r="G2093" s="672"/>
      <c r="H2093" s="676"/>
      <c r="Q2093" s="711"/>
      <c r="S2093" s="670"/>
    </row>
    <row r="2094" spans="1:20">
      <c r="A2094" s="679">
        <v>8952290</v>
      </c>
      <c r="B2094" s="677"/>
      <c r="C2094" s="672"/>
      <c r="D2094" s="672"/>
      <c r="E2094" s="676" t="s">
        <v>1155</v>
      </c>
      <c r="F2094" s="680" t="s">
        <v>2928</v>
      </c>
      <c r="G2094" s="710">
        <v>895</v>
      </c>
      <c r="H2094" s="682">
        <v>2290</v>
      </c>
      <c r="J2094" s="668" t="str">
        <f t="shared" ref="J2094:J2095" si="365">E2094</f>
        <v>(1) Miscellaneous Non-Public Expenditures</v>
      </c>
      <c r="L2094" s="668">
        <v>139</v>
      </c>
      <c r="M2094" s="669">
        <v>129</v>
      </c>
      <c r="N2094" s="668"/>
      <c r="O2094" s="668">
        <v>14</v>
      </c>
      <c r="P2094" s="668" t="str">
        <f>IFERROR(VLOOKUP(F2094, [2]MOE!B:C, 2, FALSE), "No")</f>
        <v>No</v>
      </c>
      <c r="Q2094" s="711"/>
      <c r="S2094" s="670" t="s">
        <v>2908</v>
      </c>
      <c r="T2094" s="668" t="s">
        <v>1061</v>
      </c>
    </row>
    <row r="2095" spans="1:20">
      <c r="A2095" s="679">
        <v>8002290</v>
      </c>
      <c r="B2095" s="677"/>
      <c r="C2095" s="672"/>
      <c r="D2095" s="672"/>
      <c r="E2095" s="676" t="s">
        <v>1157</v>
      </c>
      <c r="F2095" s="680" t="s">
        <v>2929</v>
      </c>
      <c r="G2095" s="710">
        <v>800</v>
      </c>
      <c r="H2095" s="682">
        <v>2290</v>
      </c>
      <c r="J2095" s="668" t="str">
        <f t="shared" si="365"/>
        <v>(2) Other Miscellaneous Expenditures</v>
      </c>
      <c r="L2095" s="668">
        <v>139</v>
      </c>
      <c r="M2095" s="669">
        <v>129</v>
      </c>
      <c r="N2095" s="668"/>
      <c r="O2095" s="668">
        <v>14</v>
      </c>
      <c r="P2095" s="668" t="str">
        <f>IFERROR(VLOOKUP(F2095, [2]MOE!B:C, 2, FALSE), "No")</f>
        <v>No</v>
      </c>
      <c r="Q2095" s="711"/>
      <c r="S2095" s="670" t="s">
        <v>2908</v>
      </c>
      <c r="T2095" s="668" t="s">
        <v>1063</v>
      </c>
    </row>
    <row r="2096" spans="1:20">
      <c r="A2096" s="671"/>
      <c r="B2096" s="677"/>
      <c r="C2096" s="672"/>
      <c r="D2096" s="672" t="s">
        <v>859</v>
      </c>
      <c r="E2096" s="676" t="s">
        <v>1065</v>
      </c>
      <c r="F2096" s="675"/>
      <c r="G2096" s="672"/>
      <c r="H2096" s="676"/>
      <c r="Q2096" s="711"/>
      <c r="S2096" s="670"/>
    </row>
    <row r="2097" spans="1:20">
      <c r="A2097" s="679">
        <v>2102290</v>
      </c>
      <c r="B2097" s="677"/>
      <c r="C2097" s="672"/>
      <c r="D2097" s="672"/>
      <c r="E2097" s="676" t="s">
        <v>1159</v>
      </c>
      <c r="F2097" s="680" t="s">
        <v>2930</v>
      </c>
      <c r="G2097" s="710">
        <v>210</v>
      </c>
      <c r="H2097" s="682">
        <v>2290</v>
      </c>
      <c r="J2097" s="668" t="str">
        <f t="shared" ref="J2097:J2099" si="366">E2097</f>
        <v>(1) Group Insurance</v>
      </c>
      <c r="L2097" s="668">
        <v>89</v>
      </c>
      <c r="M2097" s="669">
        <v>84</v>
      </c>
      <c r="N2097" s="668"/>
      <c r="O2097" s="668">
        <v>14</v>
      </c>
      <c r="P2097" s="668" t="str">
        <f>IFERROR(VLOOKUP(F2097, [2]MOE!B:C, 2, FALSE), "No")</f>
        <v>No</v>
      </c>
      <c r="Q2097" s="711" t="s">
        <v>1004</v>
      </c>
      <c r="S2097" s="670" t="s">
        <v>2908</v>
      </c>
      <c r="T2097" s="668" t="s">
        <v>1066</v>
      </c>
    </row>
    <row r="2098" spans="1:20">
      <c r="A2098" s="679">
        <v>2202290</v>
      </c>
      <c r="B2098" s="677"/>
      <c r="C2098" s="672"/>
      <c r="D2098" s="672"/>
      <c r="E2098" s="676" t="s">
        <v>1161</v>
      </c>
      <c r="F2098" s="680" t="s">
        <v>2931</v>
      </c>
      <c r="G2098" s="710">
        <v>220</v>
      </c>
      <c r="H2098" s="682">
        <v>2290</v>
      </c>
      <c r="J2098" s="668" t="str">
        <f t="shared" si="366"/>
        <v>(2) FICA</v>
      </c>
      <c r="L2098" s="668">
        <v>90</v>
      </c>
      <c r="M2098" s="669">
        <v>85</v>
      </c>
      <c r="N2098" s="668"/>
      <c r="O2098" s="668">
        <v>14</v>
      </c>
      <c r="P2098" s="668" t="str">
        <f>IFERROR(VLOOKUP(F2098, [2]MOE!B:C, 2, FALSE), "No")</f>
        <v>No</v>
      </c>
      <c r="Q2098" s="711" t="s">
        <v>1004</v>
      </c>
      <c r="S2098" s="670" t="s">
        <v>2908</v>
      </c>
      <c r="T2098" s="668" t="s">
        <v>1068</v>
      </c>
    </row>
    <row r="2099" spans="1:20">
      <c r="A2099" s="679">
        <v>2252290</v>
      </c>
      <c r="B2099" s="677"/>
      <c r="C2099" s="672"/>
      <c r="D2099" s="672"/>
      <c r="E2099" s="676" t="s">
        <v>1163</v>
      </c>
      <c r="F2099" s="680" t="s">
        <v>2932</v>
      </c>
      <c r="G2099" s="710">
        <v>225</v>
      </c>
      <c r="H2099" s="682">
        <v>2290</v>
      </c>
      <c r="J2099" s="668" t="str">
        <f t="shared" si="366"/>
        <v>(3) Medicare</v>
      </c>
      <c r="L2099" s="668">
        <v>91</v>
      </c>
      <c r="M2099" s="669">
        <v>86</v>
      </c>
      <c r="N2099" s="668"/>
      <c r="O2099" s="668">
        <v>14</v>
      </c>
      <c r="P2099" s="668" t="str">
        <f>IFERROR(VLOOKUP(F2099, [2]MOE!B:C, 2, FALSE), "No")</f>
        <v>No</v>
      </c>
      <c r="Q2099" s="711" t="s">
        <v>1004</v>
      </c>
      <c r="S2099" s="670" t="s">
        <v>2908</v>
      </c>
      <c r="T2099" s="668" t="s">
        <v>23</v>
      </c>
    </row>
    <row r="2100" spans="1:20">
      <c r="A2100" s="671"/>
      <c r="B2100" s="677"/>
      <c r="C2100" s="672"/>
      <c r="D2100" s="672"/>
      <c r="E2100" s="676" t="s">
        <v>1165</v>
      </c>
      <c r="F2100" s="675"/>
      <c r="G2100" s="672"/>
      <c r="H2100" s="676"/>
      <c r="Q2100" s="711"/>
      <c r="S2100" s="670"/>
    </row>
    <row r="2101" spans="1:20">
      <c r="A2101" s="679">
        <v>2312290</v>
      </c>
      <c r="B2101" s="677"/>
      <c r="C2101" s="672"/>
      <c r="D2101" s="672"/>
      <c r="E2101" s="676" t="s">
        <v>1166</v>
      </c>
      <c r="F2101" s="680" t="s">
        <v>2933</v>
      </c>
      <c r="G2101" s="710">
        <v>231</v>
      </c>
      <c r="H2101" s="682">
        <v>2290</v>
      </c>
      <c r="J2101" s="668" t="str">
        <f t="shared" ref="J2101:J2109" si="367">E2101</f>
        <v>(a) Louisiana Teachers Retirement</v>
      </c>
      <c r="L2101" s="668">
        <v>92</v>
      </c>
      <c r="M2101" s="669">
        <v>87</v>
      </c>
      <c r="N2101" s="668"/>
      <c r="O2101" s="668">
        <v>14</v>
      </c>
      <c r="P2101" s="668" t="str">
        <f>IFERROR(VLOOKUP(F2101, [2]MOE!B:C, 2, FALSE), "No")</f>
        <v>No</v>
      </c>
      <c r="Q2101" s="711" t="s">
        <v>1004</v>
      </c>
      <c r="S2101" s="670" t="s">
        <v>2908</v>
      </c>
      <c r="T2101" s="668" t="s">
        <v>1074</v>
      </c>
    </row>
    <row r="2102" spans="1:20">
      <c r="A2102" s="679">
        <v>2332290</v>
      </c>
      <c r="B2102" s="677"/>
      <c r="C2102" s="672"/>
      <c r="D2102" s="672"/>
      <c r="E2102" s="676" t="s">
        <v>1168</v>
      </c>
      <c r="F2102" s="680" t="s">
        <v>2934</v>
      </c>
      <c r="G2102" s="710">
        <v>233</v>
      </c>
      <c r="H2102" s="682">
        <v>2290</v>
      </c>
      <c r="J2102" s="668" t="str">
        <f t="shared" si="367"/>
        <v>(b) Louisiana School Emp. Retirement</v>
      </c>
      <c r="L2102" s="668">
        <v>92</v>
      </c>
      <c r="M2102" s="669">
        <v>87</v>
      </c>
      <c r="N2102" s="668"/>
      <c r="O2102" s="668">
        <v>14</v>
      </c>
      <c r="P2102" s="668" t="str">
        <f>IFERROR(VLOOKUP(F2102, [2]MOE!B:C, 2, FALSE), "No")</f>
        <v>No</v>
      </c>
      <c r="Q2102" s="711" t="s">
        <v>1004</v>
      </c>
      <c r="S2102" s="670" t="s">
        <v>2908</v>
      </c>
      <c r="T2102" s="668" t="s">
        <v>1170</v>
      </c>
    </row>
    <row r="2103" spans="1:20">
      <c r="A2103" s="679">
        <v>2392290</v>
      </c>
      <c r="B2103" s="677"/>
      <c r="C2103" s="672"/>
      <c r="D2103" s="672"/>
      <c r="E2103" s="676" t="s">
        <v>1171</v>
      </c>
      <c r="F2103" s="680" t="s">
        <v>2935</v>
      </c>
      <c r="G2103" s="710">
        <v>239</v>
      </c>
      <c r="H2103" s="682">
        <v>2290</v>
      </c>
      <c r="J2103" s="668" t="str">
        <f t="shared" si="367"/>
        <v>(c) Other Retirement</v>
      </c>
      <c r="L2103" s="668">
        <v>92</v>
      </c>
      <c r="M2103" s="669">
        <v>87</v>
      </c>
      <c r="N2103" s="668"/>
      <c r="O2103" s="668">
        <v>14</v>
      </c>
      <c r="P2103" s="668" t="str">
        <f>IFERROR(VLOOKUP(F2103, [2]MOE!B:C, 2, FALSE), "No")</f>
        <v>No</v>
      </c>
      <c r="Q2103" s="711" t="s">
        <v>1004</v>
      </c>
      <c r="S2103" s="670" t="s">
        <v>2908</v>
      </c>
      <c r="T2103" s="668" t="s">
        <v>1080</v>
      </c>
    </row>
    <row r="2104" spans="1:20">
      <c r="A2104" s="679">
        <v>2502290</v>
      </c>
      <c r="B2104" s="677"/>
      <c r="C2104" s="672"/>
      <c r="D2104" s="672"/>
      <c r="E2104" s="676" t="s">
        <v>1173</v>
      </c>
      <c r="F2104" s="680" t="s">
        <v>2936</v>
      </c>
      <c r="G2104" s="710">
        <v>250</v>
      </c>
      <c r="H2104" s="682">
        <v>2290</v>
      </c>
      <c r="J2104" s="668" t="str">
        <f t="shared" si="367"/>
        <v>(5) Unemployment Compensation</v>
      </c>
      <c r="L2104" s="668">
        <v>93</v>
      </c>
      <c r="M2104" s="669">
        <v>88</v>
      </c>
      <c r="N2104" s="668"/>
      <c r="O2104" s="668">
        <v>14</v>
      </c>
      <c r="P2104" s="668" t="str">
        <f>IFERROR(VLOOKUP(F2104, [2]MOE!B:C, 2, FALSE), "No")</f>
        <v>No</v>
      </c>
      <c r="Q2104" s="711" t="s">
        <v>1004</v>
      </c>
      <c r="S2104" s="670" t="s">
        <v>2908</v>
      </c>
      <c r="T2104" s="668" t="s">
        <v>1081</v>
      </c>
    </row>
    <row r="2105" spans="1:20">
      <c r="A2105" s="679">
        <v>2602290</v>
      </c>
      <c r="B2105" s="677"/>
      <c r="C2105" s="672"/>
      <c r="D2105" s="672"/>
      <c r="E2105" s="676" t="s">
        <v>1175</v>
      </c>
      <c r="F2105" s="680" t="s">
        <v>2937</v>
      </c>
      <c r="G2105" s="710">
        <v>260</v>
      </c>
      <c r="H2105" s="682">
        <v>2290</v>
      </c>
      <c r="J2105" s="668" t="str">
        <f t="shared" si="367"/>
        <v>(6) Workmen's Compensation</v>
      </c>
      <c r="L2105" s="668">
        <v>95</v>
      </c>
      <c r="M2105" s="669">
        <v>90</v>
      </c>
      <c r="N2105" s="668"/>
      <c r="O2105" s="668">
        <v>14</v>
      </c>
      <c r="P2105" s="668" t="str">
        <f>IFERROR(VLOOKUP(F2105, [2]MOE!B:C, 2, FALSE), "No")</f>
        <v>No</v>
      </c>
      <c r="Q2105" s="711" t="s">
        <v>1004</v>
      </c>
      <c r="S2105" s="670" t="s">
        <v>2908</v>
      </c>
      <c r="T2105" s="668" t="s">
        <v>1083</v>
      </c>
    </row>
    <row r="2106" spans="1:20">
      <c r="A2106" s="679">
        <v>2702290</v>
      </c>
      <c r="B2106" s="677"/>
      <c r="C2106" s="672"/>
      <c r="D2106" s="672"/>
      <c r="E2106" s="676" t="s">
        <v>1177</v>
      </c>
      <c r="F2106" s="680" t="s">
        <v>2938</v>
      </c>
      <c r="G2106" s="710">
        <v>270</v>
      </c>
      <c r="H2106" s="682">
        <v>2290</v>
      </c>
      <c r="J2106" s="668" t="str">
        <f t="shared" si="367"/>
        <v>(7) Health Benefits (retirees)</v>
      </c>
      <c r="L2106" s="668">
        <v>94</v>
      </c>
      <c r="M2106" s="669">
        <v>89</v>
      </c>
      <c r="N2106" s="668"/>
      <c r="O2106" s="668">
        <v>14</v>
      </c>
      <c r="P2106" s="668" t="str">
        <f>IFERROR(VLOOKUP(F2106, [2]MOE!B:C, 2, FALSE), "No")</f>
        <v>No</v>
      </c>
      <c r="Q2106" s="711" t="s">
        <v>1004</v>
      </c>
      <c r="S2106" s="670" t="s">
        <v>2908</v>
      </c>
      <c r="T2106" s="668" t="s">
        <v>1085</v>
      </c>
    </row>
    <row r="2107" spans="1:20">
      <c r="A2107" s="679">
        <v>2812290</v>
      </c>
      <c r="B2107" s="677"/>
      <c r="C2107" s="672"/>
      <c r="D2107" s="672"/>
      <c r="E2107" s="676" t="s">
        <v>1179</v>
      </c>
      <c r="F2107" s="680" t="s">
        <v>2939</v>
      </c>
      <c r="G2107" s="710">
        <v>281</v>
      </c>
      <c r="H2107" s="682">
        <v>2290</v>
      </c>
      <c r="J2107" s="668" t="str">
        <f t="shared" si="367"/>
        <v>(8) Sick Leave Severance Pay</v>
      </c>
      <c r="L2107" s="668">
        <v>95</v>
      </c>
      <c r="M2107" s="669">
        <v>90</v>
      </c>
      <c r="N2107" s="668"/>
      <c r="O2107" s="668">
        <v>14</v>
      </c>
      <c r="P2107" s="668" t="str">
        <f>IFERROR(VLOOKUP(F2107, [2]MOE!B:C, 2, FALSE), "No")</f>
        <v>No</v>
      </c>
      <c r="Q2107" s="711" t="s">
        <v>1004</v>
      </c>
      <c r="S2107" s="670" t="s">
        <v>2908</v>
      </c>
      <c r="T2107" s="668" t="s">
        <v>1087</v>
      </c>
    </row>
    <row r="2108" spans="1:20">
      <c r="A2108" s="679">
        <v>2822290</v>
      </c>
      <c r="B2108" s="677"/>
      <c r="C2108" s="672"/>
      <c r="D2108" s="672"/>
      <c r="E2108" s="676" t="s">
        <v>1181</v>
      </c>
      <c r="F2108" s="680" t="s">
        <v>2940</v>
      </c>
      <c r="G2108" s="710">
        <v>282</v>
      </c>
      <c r="H2108" s="682">
        <v>2290</v>
      </c>
      <c r="J2108" s="668" t="str">
        <f t="shared" si="367"/>
        <v>(9) Annual Leave Severance Pay</v>
      </c>
      <c r="L2108" s="668">
        <v>95</v>
      </c>
      <c r="M2108" s="669">
        <v>90</v>
      </c>
      <c r="N2108" s="668"/>
      <c r="O2108" s="668">
        <v>14</v>
      </c>
      <c r="P2108" s="668" t="str">
        <f>IFERROR(VLOOKUP(F2108, [2]MOE!B:C, 2, FALSE), "No")</f>
        <v>No</v>
      </c>
      <c r="Q2108" s="711" t="s">
        <v>1004</v>
      </c>
      <c r="S2108" s="670" t="s">
        <v>2908</v>
      </c>
      <c r="T2108" s="668" t="s">
        <v>1089</v>
      </c>
    </row>
    <row r="2109" spans="1:20" ht="16" thickBot="1">
      <c r="A2109" s="679">
        <v>2902290</v>
      </c>
      <c r="B2109" s="716"/>
      <c r="C2109" s="672"/>
      <c r="D2109" s="672"/>
      <c r="E2109" s="676" t="s">
        <v>1183</v>
      </c>
      <c r="F2109" s="680" t="s">
        <v>2941</v>
      </c>
      <c r="G2109" s="710">
        <v>290</v>
      </c>
      <c r="H2109" s="682">
        <v>2290</v>
      </c>
      <c r="J2109" s="668" t="str">
        <f t="shared" si="367"/>
        <v>(10) Other Employee Benefits</v>
      </c>
      <c r="L2109" s="668">
        <v>95</v>
      </c>
      <c r="M2109" s="669">
        <v>90</v>
      </c>
      <c r="N2109" s="668"/>
      <c r="O2109" s="668">
        <v>14</v>
      </c>
      <c r="P2109" s="668" t="str">
        <f>IFERROR(VLOOKUP(F2109, [2]MOE!B:C, 2, FALSE), "No")</f>
        <v>No</v>
      </c>
      <c r="Q2109" s="711" t="s">
        <v>1004</v>
      </c>
      <c r="S2109" s="670" t="s">
        <v>2908</v>
      </c>
      <c r="T2109" s="668" t="s">
        <v>1092</v>
      </c>
    </row>
    <row r="2110" spans="1:20" ht="16.5" thickTop="1" thickBot="1">
      <c r="A2110" s="671"/>
      <c r="B2110" s="663"/>
      <c r="C2110" s="929" t="s">
        <v>2942</v>
      </c>
      <c r="D2110" s="930"/>
      <c r="E2110" s="932"/>
      <c r="F2110" s="705" t="s">
        <v>628</v>
      </c>
      <c r="G2110" s="706"/>
      <c r="H2110" s="707"/>
      <c r="Q2110" s="711"/>
      <c r="S2110" s="670"/>
    </row>
    <row r="2111" spans="1:20" ht="16" thickTop="1">
      <c r="A2111" s="671"/>
      <c r="B2111" s="672"/>
      <c r="C2111" s="672"/>
      <c r="D2111" s="672"/>
      <c r="E2111" s="676"/>
      <c r="F2111" s="675"/>
      <c r="G2111" s="672"/>
      <c r="H2111" s="676"/>
      <c r="Q2111" s="711"/>
      <c r="S2111" s="670"/>
    </row>
    <row r="2112" spans="1:20">
      <c r="A2112" s="671"/>
      <c r="B2112" s="677" t="s">
        <v>1228</v>
      </c>
      <c r="C2112" s="921" t="s">
        <v>698</v>
      </c>
      <c r="D2112" s="795"/>
      <c r="E2112" s="926"/>
      <c r="F2112" s="675"/>
      <c r="G2112" s="672"/>
      <c r="H2112" s="676"/>
      <c r="Q2112" s="711"/>
      <c r="S2112" s="670"/>
    </row>
    <row r="2113" spans="1:20">
      <c r="A2113" s="671"/>
      <c r="B2113" s="677"/>
      <c r="C2113" s="678">
        <v>60</v>
      </c>
      <c r="D2113" s="925" t="s">
        <v>2943</v>
      </c>
      <c r="E2113" s="926"/>
      <c r="F2113" s="675"/>
      <c r="G2113" s="672"/>
      <c r="H2113" s="676"/>
      <c r="Q2113" s="711"/>
      <c r="S2113" s="670"/>
    </row>
    <row r="2114" spans="1:20">
      <c r="A2114" s="671"/>
      <c r="B2114" s="677"/>
      <c r="C2114" s="672"/>
      <c r="D2114" s="672" t="s">
        <v>759</v>
      </c>
      <c r="E2114" s="676" t="s">
        <v>244</v>
      </c>
      <c r="F2114" s="675"/>
      <c r="G2114" s="672"/>
      <c r="H2114" s="676"/>
      <c r="Q2114" s="711"/>
      <c r="S2114" s="670"/>
    </row>
    <row r="2115" spans="1:20">
      <c r="A2115" s="679">
        <v>1112311</v>
      </c>
      <c r="B2115" s="677"/>
      <c r="C2115" s="672"/>
      <c r="D2115" s="672"/>
      <c r="E2115" s="676" t="s">
        <v>2944</v>
      </c>
      <c r="F2115" s="680" t="s">
        <v>2945</v>
      </c>
      <c r="G2115" s="710">
        <v>111</v>
      </c>
      <c r="H2115" s="682">
        <v>2311</v>
      </c>
      <c r="J2115" s="668" t="str">
        <f t="shared" ref="J2115:J2123" si="368">E2115</f>
        <v>(1) Board Members</v>
      </c>
      <c r="L2115" s="668">
        <v>81</v>
      </c>
      <c r="M2115" s="669">
        <v>76</v>
      </c>
      <c r="N2115" s="668"/>
      <c r="O2115" s="668">
        <v>15</v>
      </c>
      <c r="P2115" s="668" t="str">
        <f>IFERROR(VLOOKUP(F2115, [2]MOE!B:C, 2, FALSE), "No")</f>
        <v>No</v>
      </c>
      <c r="Q2115" s="711"/>
      <c r="S2115" s="670" t="s">
        <v>2943</v>
      </c>
      <c r="T2115" s="668" t="s">
        <v>2946</v>
      </c>
    </row>
    <row r="2116" spans="1:20">
      <c r="A2116" s="679">
        <v>1182311</v>
      </c>
      <c r="B2116" s="677"/>
      <c r="C2116" s="672"/>
      <c r="D2116" s="672"/>
      <c r="E2116" s="676" t="s">
        <v>2947</v>
      </c>
      <c r="F2116" s="680" t="s">
        <v>2948</v>
      </c>
      <c r="G2116" s="710">
        <v>118</v>
      </c>
      <c r="H2116" s="682">
        <v>2311</v>
      </c>
      <c r="J2116" s="668" t="str">
        <f t="shared" si="368"/>
        <v>(2) Board Attorneys</v>
      </c>
      <c r="L2116" s="668">
        <v>86</v>
      </c>
      <c r="M2116" s="669">
        <v>81</v>
      </c>
      <c r="N2116" s="668"/>
      <c r="O2116" s="668">
        <v>15</v>
      </c>
      <c r="P2116" s="668" t="str">
        <f>IFERROR(VLOOKUP(F2116, [2]MOE!B:C, 2, FALSE), "No")</f>
        <v>No</v>
      </c>
      <c r="Q2116" s="711"/>
      <c r="S2116" s="670" t="s">
        <v>2943</v>
      </c>
      <c r="T2116" s="668" t="s">
        <v>2949</v>
      </c>
    </row>
    <row r="2117" spans="1:20">
      <c r="A2117" s="679">
        <v>1142312</v>
      </c>
      <c r="B2117" s="677"/>
      <c r="C2117" s="672"/>
      <c r="D2117" s="672"/>
      <c r="E2117" s="676" t="s">
        <v>2950</v>
      </c>
      <c r="F2117" s="680" t="s">
        <v>2951</v>
      </c>
      <c r="G2117" s="710">
        <v>114</v>
      </c>
      <c r="H2117" s="682">
        <v>2312</v>
      </c>
      <c r="J2117" s="668" t="str">
        <f t="shared" si="368"/>
        <v>(3) Board Secretary</v>
      </c>
      <c r="L2117" s="668">
        <v>84</v>
      </c>
      <c r="M2117" s="669">
        <v>79</v>
      </c>
      <c r="N2117" s="668"/>
      <c r="O2117" s="668">
        <v>15</v>
      </c>
      <c r="P2117" s="668" t="str">
        <f>IFERROR(VLOOKUP(F2117, [2]MOE!B:C, 2, FALSE), "No")</f>
        <v>No</v>
      </c>
      <c r="Q2117" s="711"/>
      <c r="S2117" s="670" t="s">
        <v>2943</v>
      </c>
      <c r="T2117" s="668" t="s">
        <v>2952</v>
      </c>
    </row>
    <row r="2118" spans="1:20">
      <c r="A2118" s="679">
        <v>1112315</v>
      </c>
      <c r="B2118" s="677"/>
      <c r="C2118" s="672"/>
      <c r="D2118" s="672"/>
      <c r="E2118" s="676" t="s">
        <v>2953</v>
      </c>
      <c r="F2118" s="680" t="s">
        <v>2954</v>
      </c>
      <c r="G2118" s="710">
        <v>111</v>
      </c>
      <c r="H2118" s="682">
        <v>2315</v>
      </c>
      <c r="J2118" s="668" t="str">
        <f t="shared" si="368"/>
        <v>(4) Supervisors - Tax Assess &amp; Collect</v>
      </c>
      <c r="L2118" s="668">
        <v>81</v>
      </c>
      <c r="M2118" s="669">
        <v>76</v>
      </c>
      <c r="N2118" s="668"/>
      <c r="O2118" s="668">
        <v>15</v>
      </c>
      <c r="P2118" s="668" t="str">
        <f>IFERROR(VLOOKUP(F2118, [2]MOE!B:C, 2, FALSE), "No")</f>
        <v>No</v>
      </c>
      <c r="Q2118" s="711"/>
      <c r="S2118" s="670" t="s">
        <v>2943</v>
      </c>
      <c r="T2118" s="668" t="s">
        <v>2955</v>
      </c>
    </row>
    <row r="2119" spans="1:20">
      <c r="A2119" s="679">
        <v>1142315</v>
      </c>
      <c r="B2119" s="677"/>
      <c r="C2119" s="672"/>
      <c r="D2119" s="672"/>
      <c r="E2119" s="676" t="s">
        <v>2956</v>
      </c>
      <c r="F2119" s="680" t="s">
        <v>2957</v>
      </c>
      <c r="G2119" s="710">
        <v>114</v>
      </c>
      <c r="H2119" s="682">
        <v>2315</v>
      </c>
      <c r="J2119" s="668" t="str">
        <f t="shared" si="368"/>
        <v>(5) Clerical/Sec. - Tax Assess &amp; Collect</v>
      </c>
      <c r="L2119" s="668">
        <v>84</v>
      </c>
      <c r="M2119" s="669">
        <v>79</v>
      </c>
      <c r="N2119" s="668"/>
      <c r="O2119" s="668">
        <v>15</v>
      </c>
      <c r="P2119" s="668" t="str">
        <f>IFERROR(VLOOKUP(F2119, [2]MOE!B:C, 2, FALSE), "No")</f>
        <v>No</v>
      </c>
      <c r="Q2119" s="711"/>
      <c r="S2119" s="670" t="s">
        <v>2943</v>
      </c>
      <c r="T2119" s="668" t="s">
        <v>2958</v>
      </c>
    </row>
    <row r="2120" spans="1:20">
      <c r="A2120" s="679">
        <v>1002315</v>
      </c>
      <c r="B2120" s="677"/>
      <c r="C2120" s="672"/>
      <c r="D2120" s="672"/>
      <c r="E2120" s="676" t="s">
        <v>2959</v>
      </c>
      <c r="F2120" s="680" t="s">
        <v>2960</v>
      </c>
      <c r="G2120" s="710">
        <v>100</v>
      </c>
      <c r="H2120" s="682">
        <v>2315</v>
      </c>
      <c r="J2120" s="668" t="str">
        <f t="shared" si="368"/>
        <v>(6) Other Tax Assess &amp; Collect Salaries</v>
      </c>
      <c r="L2120" s="668">
        <v>86</v>
      </c>
      <c r="M2120" s="669">
        <v>81</v>
      </c>
      <c r="N2120" s="668"/>
      <c r="O2120" s="668">
        <v>15</v>
      </c>
      <c r="P2120" s="668" t="str">
        <f>IFERROR(VLOOKUP(F2120, [2]MOE!B:C, 2, FALSE), "No")</f>
        <v>No</v>
      </c>
      <c r="Q2120" s="711"/>
      <c r="S2120" s="670" t="s">
        <v>2943</v>
      </c>
      <c r="T2120" s="668" t="s">
        <v>2961</v>
      </c>
    </row>
    <row r="2121" spans="1:20">
      <c r="A2121" s="679">
        <v>1202310</v>
      </c>
      <c r="B2121" s="677"/>
      <c r="C2121" s="672"/>
      <c r="D2121" s="672"/>
      <c r="E2121" s="676" t="s">
        <v>2962</v>
      </c>
      <c r="F2121" s="680" t="s">
        <v>2963</v>
      </c>
      <c r="G2121" s="710">
        <v>120</v>
      </c>
      <c r="H2121" s="682">
        <v>2310</v>
      </c>
      <c r="J2121" s="668" t="str">
        <f t="shared" si="368"/>
        <v>(7) Sub/Temp Employees - Board of Ed Svcs</v>
      </c>
      <c r="L2121" s="668">
        <v>86</v>
      </c>
      <c r="M2121" s="669">
        <v>81</v>
      </c>
      <c r="N2121" s="668"/>
      <c r="O2121" s="668">
        <v>15</v>
      </c>
      <c r="P2121" s="668" t="str">
        <f>IFERROR(VLOOKUP(F2121, [2]MOE!B:C, 2, FALSE), "No")</f>
        <v>No</v>
      </c>
      <c r="Q2121" s="711"/>
      <c r="S2121" s="670" t="s">
        <v>2943</v>
      </c>
      <c r="T2121" s="668" t="s">
        <v>2964</v>
      </c>
    </row>
    <row r="2122" spans="1:20">
      <c r="A2122" s="679">
        <v>1002310</v>
      </c>
      <c r="B2122" s="677"/>
      <c r="C2122" s="672"/>
      <c r="D2122" s="672"/>
      <c r="E2122" s="676" t="s">
        <v>2965</v>
      </c>
      <c r="F2122" s="680" t="s">
        <v>2966</v>
      </c>
      <c r="G2122" s="710">
        <v>100</v>
      </c>
      <c r="H2122" s="682">
        <v>2310</v>
      </c>
      <c r="J2122" s="668" t="str">
        <f t="shared" si="368"/>
        <v>(8) Other Board of Ed. Svcs Salaries</v>
      </c>
      <c r="L2122" s="668">
        <v>86</v>
      </c>
      <c r="M2122" s="669">
        <v>81</v>
      </c>
      <c r="N2122" s="668"/>
      <c r="O2122" s="668">
        <v>15</v>
      </c>
      <c r="P2122" s="668" t="str">
        <f>IFERROR(VLOOKUP(F2122, [2]MOE!B:C, 2, FALSE), "No")</f>
        <v>No</v>
      </c>
      <c r="Q2122" s="711"/>
      <c r="S2122" s="670" t="s">
        <v>2943</v>
      </c>
      <c r="T2122" s="668" t="s">
        <v>2967</v>
      </c>
    </row>
    <row r="2123" spans="1:20">
      <c r="A2123" s="679">
        <v>1402310</v>
      </c>
      <c r="B2123" s="677"/>
      <c r="C2123" s="672"/>
      <c r="D2123" s="672"/>
      <c r="E2123" s="676" t="s">
        <v>2968</v>
      </c>
      <c r="F2123" s="680" t="s">
        <v>2969</v>
      </c>
      <c r="G2123" s="710">
        <v>140</v>
      </c>
      <c r="H2123" s="682">
        <v>2310</v>
      </c>
      <c r="J2123" s="668" t="str">
        <f t="shared" si="368"/>
        <v>(9) Sabbatial Leave</v>
      </c>
      <c r="L2123" s="668">
        <v>86</v>
      </c>
      <c r="M2123" s="669">
        <v>81</v>
      </c>
      <c r="N2123" s="668"/>
      <c r="O2123" s="668">
        <v>15</v>
      </c>
      <c r="P2123" s="668" t="str">
        <f>IFERROR(VLOOKUP(F2123, [2]MOE!B:C, 2, FALSE), "No")</f>
        <v>No</v>
      </c>
      <c r="Q2123" s="711"/>
      <c r="S2123" s="670" t="s">
        <v>2943</v>
      </c>
      <c r="T2123" s="668" t="s">
        <v>2970</v>
      </c>
    </row>
    <row r="2124" spans="1:20">
      <c r="A2124" s="671"/>
      <c r="B2124" s="677"/>
      <c r="C2124" s="672"/>
      <c r="D2124" s="672" t="s">
        <v>777</v>
      </c>
      <c r="E2124" s="676" t="s">
        <v>1113</v>
      </c>
      <c r="F2124" s="675"/>
      <c r="G2124" s="672"/>
      <c r="H2124" s="676"/>
      <c r="Q2124" s="711"/>
      <c r="S2124" s="670"/>
    </row>
    <row r="2125" spans="1:20">
      <c r="A2125" s="671"/>
      <c r="B2125" s="677"/>
      <c r="C2125" s="672"/>
      <c r="D2125" s="672"/>
      <c r="E2125" s="676" t="s">
        <v>2971</v>
      </c>
      <c r="F2125" s="675"/>
      <c r="G2125" s="672"/>
      <c r="H2125" s="676"/>
      <c r="Q2125" s="711"/>
      <c r="S2125" s="670"/>
    </row>
    <row r="2126" spans="1:20">
      <c r="A2126" s="679">
        <v>3112310</v>
      </c>
      <c r="B2126" s="677"/>
      <c r="C2126" s="672"/>
      <c r="D2126" s="672"/>
      <c r="E2126" s="676" t="s">
        <v>2972</v>
      </c>
      <c r="F2126" s="680" t="s">
        <v>2973</v>
      </c>
      <c r="G2126" s="710">
        <v>311</v>
      </c>
      <c r="H2126" s="682">
        <v>2310</v>
      </c>
      <c r="J2126" s="668" t="str">
        <f t="shared" ref="J2126:J2133" si="369">E2126</f>
        <v>(a) Assessor Fees</v>
      </c>
      <c r="L2126" s="668">
        <v>101</v>
      </c>
      <c r="M2126" s="669">
        <v>96</v>
      </c>
      <c r="N2126" s="668"/>
      <c r="O2126" s="668">
        <v>15</v>
      </c>
      <c r="P2126" s="668" t="str">
        <f>IFERROR(VLOOKUP(F2126, [2]MOE!B:C, 2, FALSE), "No")</f>
        <v>No</v>
      </c>
      <c r="Q2126" s="711"/>
      <c r="S2126" s="670" t="s">
        <v>2943</v>
      </c>
      <c r="T2126" s="668" t="s">
        <v>2974</v>
      </c>
    </row>
    <row r="2127" spans="1:20">
      <c r="A2127" s="679">
        <v>3122310</v>
      </c>
      <c r="B2127" s="677"/>
      <c r="C2127" s="672"/>
      <c r="D2127" s="672"/>
      <c r="E2127" s="676" t="s">
        <v>2975</v>
      </c>
      <c r="F2127" s="680" t="s">
        <v>2976</v>
      </c>
      <c r="G2127" s="710">
        <v>312</v>
      </c>
      <c r="H2127" s="682">
        <v>2310</v>
      </c>
      <c r="J2127" s="668" t="str">
        <f t="shared" si="369"/>
        <v>(b) Sheriff Tax Collection Fees</v>
      </c>
      <c r="L2127" s="668">
        <v>101</v>
      </c>
      <c r="M2127" s="669">
        <v>96</v>
      </c>
      <c r="N2127" s="668"/>
      <c r="O2127" s="668">
        <v>15</v>
      </c>
      <c r="P2127" s="668" t="str">
        <f>IFERROR(VLOOKUP(F2127, [2]MOE!B:C, 2, FALSE), "No")</f>
        <v>No</v>
      </c>
      <c r="Q2127" s="711"/>
      <c r="S2127" s="670" t="s">
        <v>2943</v>
      </c>
      <c r="T2127" s="668" t="s">
        <v>2977</v>
      </c>
    </row>
    <row r="2128" spans="1:20">
      <c r="A2128" s="679">
        <v>3132310</v>
      </c>
      <c r="B2128" s="677"/>
      <c r="C2128" s="672"/>
      <c r="D2128" s="672"/>
      <c r="E2128" s="676" t="s">
        <v>2978</v>
      </c>
      <c r="F2128" s="680" t="s">
        <v>2979</v>
      </c>
      <c r="G2128" s="710">
        <v>313</v>
      </c>
      <c r="H2128" s="682">
        <v>2310</v>
      </c>
      <c r="J2128" s="668" t="str">
        <f t="shared" si="369"/>
        <v>(c) Pension Accumulation Fund</v>
      </c>
      <c r="L2128" s="668">
        <v>101</v>
      </c>
      <c r="M2128" s="669">
        <v>96</v>
      </c>
      <c r="N2128" s="668"/>
      <c r="O2128" s="668">
        <v>15</v>
      </c>
      <c r="P2128" s="668" t="str">
        <f>IFERROR(VLOOKUP(F2128, [2]MOE!B:C, 2, FALSE), "No")</f>
        <v>No</v>
      </c>
      <c r="Q2128" s="711"/>
      <c r="S2128" s="670" t="s">
        <v>2943</v>
      </c>
      <c r="T2128" s="668" t="s">
        <v>2980</v>
      </c>
    </row>
    <row r="2129" spans="1:20">
      <c r="A2129" s="679">
        <v>3142310</v>
      </c>
      <c r="B2129" s="677"/>
      <c r="C2129" s="672"/>
      <c r="D2129" s="672"/>
      <c r="E2129" s="676" t="s">
        <v>2981</v>
      </c>
      <c r="F2129" s="680" t="s">
        <v>2982</v>
      </c>
      <c r="G2129" s="710">
        <v>314</v>
      </c>
      <c r="H2129" s="682">
        <v>2310</v>
      </c>
      <c r="J2129" s="668" t="str">
        <f t="shared" si="369"/>
        <v>(d) Sales Tax Collection Fees</v>
      </c>
      <c r="L2129" s="668">
        <v>101</v>
      </c>
      <c r="M2129" s="669">
        <v>96</v>
      </c>
      <c r="N2129" s="668"/>
      <c r="O2129" s="668">
        <v>15</v>
      </c>
      <c r="P2129" s="668" t="str">
        <f>IFERROR(VLOOKUP(F2129, [2]MOE!B:C, 2, FALSE), "No")</f>
        <v>No</v>
      </c>
      <c r="Q2129" s="711"/>
      <c r="S2129" s="670" t="s">
        <v>2943</v>
      </c>
      <c r="T2129" s="668" t="s">
        <v>2983</v>
      </c>
    </row>
    <row r="2130" spans="1:20">
      <c r="A2130" s="679">
        <v>3152310</v>
      </c>
      <c r="B2130" s="677"/>
      <c r="C2130" s="672"/>
      <c r="D2130" s="672"/>
      <c r="E2130" s="676" t="s">
        <v>2984</v>
      </c>
      <c r="F2130" s="680" t="s">
        <v>2985</v>
      </c>
      <c r="G2130" s="710">
        <v>315</v>
      </c>
      <c r="H2130" s="682">
        <v>2310</v>
      </c>
      <c r="J2130" s="668" t="str">
        <f t="shared" si="369"/>
        <v>(e) State Tax Commission Fees</v>
      </c>
      <c r="L2130" s="668">
        <v>101</v>
      </c>
      <c r="M2130" s="669">
        <v>96</v>
      </c>
      <c r="N2130" s="668"/>
      <c r="O2130" s="668">
        <v>15</v>
      </c>
      <c r="P2130" s="668" t="str">
        <f>IFERROR(VLOOKUP(F2130, [2]MOE!B:C, 2, FALSE), "No")</f>
        <v>No</v>
      </c>
      <c r="Q2130" s="711"/>
      <c r="S2130" s="670" t="s">
        <v>2943</v>
      </c>
      <c r="T2130" s="668" t="s">
        <v>2986</v>
      </c>
    </row>
    <row r="2131" spans="1:20">
      <c r="A2131" s="679">
        <v>3162310</v>
      </c>
      <c r="B2131" s="677"/>
      <c r="C2131" s="672"/>
      <c r="D2131" s="672"/>
      <c r="E2131" s="676" t="s">
        <v>2987</v>
      </c>
      <c r="F2131" s="680" t="s">
        <v>2988</v>
      </c>
      <c r="G2131" s="710">
        <v>316</v>
      </c>
      <c r="H2131" s="682">
        <v>2310</v>
      </c>
      <c r="J2131" s="668" t="str">
        <f t="shared" si="369"/>
        <v>(f) Election Fees</v>
      </c>
      <c r="L2131" s="668">
        <v>101</v>
      </c>
      <c r="M2131" s="669">
        <v>96</v>
      </c>
      <c r="N2131" s="668"/>
      <c r="O2131" s="668">
        <v>15</v>
      </c>
      <c r="P2131" s="668" t="str">
        <f>IFERROR(VLOOKUP(F2131, [2]MOE!B:C, 2, FALSE), "No")</f>
        <v>No</v>
      </c>
      <c r="Q2131" s="711"/>
      <c r="S2131" s="670" t="s">
        <v>2943</v>
      </c>
      <c r="T2131" s="668" t="s">
        <v>2989</v>
      </c>
    </row>
    <row r="2132" spans="1:20">
      <c r="A2132" s="679">
        <v>3172310</v>
      </c>
      <c r="B2132" s="677"/>
      <c r="C2132" s="672"/>
      <c r="D2132" s="672"/>
      <c r="E2132" s="676" t="s">
        <v>2990</v>
      </c>
      <c r="F2132" s="680" t="s">
        <v>2991</v>
      </c>
      <c r="G2132" s="710">
        <v>317</v>
      </c>
      <c r="H2132" s="682">
        <v>2310</v>
      </c>
      <c r="J2132" s="668" t="str">
        <f t="shared" si="369"/>
        <v>(g) Management Consultants</v>
      </c>
      <c r="L2132" s="668">
        <v>101</v>
      </c>
      <c r="M2132" s="669">
        <v>96</v>
      </c>
      <c r="N2132" s="668"/>
      <c r="O2132" s="668">
        <v>15</v>
      </c>
      <c r="P2132" s="668" t="str">
        <f>IFERROR(VLOOKUP(F2132, [2]MOE!B:C, 2, FALSE), "No")</f>
        <v>No</v>
      </c>
      <c r="Q2132" s="711"/>
      <c r="S2132" s="670" t="s">
        <v>2943</v>
      </c>
      <c r="T2132" s="668" t="s">
        <v>2992</v>
      </c>
    </row>
    <row r="2133" spans="1:20">
      <c r="A2133" s="679">
        <v>3192310</v>
      </c>
      <c r="B2133" s="677"/>
      <c r="C2133" s="672"/>
      <c r="D2133" s="672"/>
      <c r="E2133" s="676" t="s">
        <v>2993</v>
      </c>
      <c r="F2133" s="680" t="s">
        <v>2994</v>
      </c>
      <c r="G2133" s="710">
        <v>319</v>
      </c>
      <c r="H2133" s="682">
        <v>2310</v>
      </c>
      <c r="J2133" s="668" t="str">
        <f t="shared" si="369"/>
        <v>(h) Other Service Fees</v>
      </c>
      <c r="L2133" s="668">
        <v>101</v>
      </c>
      <c r="M2133" s="669">
        <v>96</v>
      </c>
      <c r="N2133" s="668"/>
      <c r="O2133" s="668">
        <v>15</v>
      </c>
      <c r="P2133" s="668" t="str">
        <f>IFERROR(VLOOKUP(F2133, [2]MOE!B:C, 2, FALSE), "No")</f>
        <v>No</v>
      </c>
      <c r="Q2133" s="711"/>
      <c r="S2133" s="670" t="s">
        <v>2943</v>
      </c>
      <c r="T2133" s="668" t="s">
        <v>2995</v>
      </c>
    </row>
    <row r="2134" spans="1:20">
      <c r="A2134" s="671"/>
      <c r="B2134" s="677"/>
      <c r="C2134" s="672"/>
      <c r="D2134" s="672"/>
      <c r="E2134" s="676" t="s">
        <v>2996</v>
      </c>
      <c r="F2134" s="675"/>
      <c r="G2134" s="672"/>
      <c r="H2134" s="676"/>
      <c r="Q2134" s="711"/>
      <c r="S2134" s="670"/>
    </row>
    <row r="2135" spans="1:20">
      <c r="A2135" s="679">
        <v>3322310</v>
      </c>
      <c r="B2135" s="677"/>
      <c r="C2135" s="672"/>
      <c r="D2135" s="672"/>
      <c r="E2135" s="676" t="s">
        <v>2997</v>
      </c>
      <c r="F2135" s="680" t="s">
        <v>2998</v>
      </c>
      <c r="G2135" s="710">
        <v>332</v>
      </c>
      <c r="H2135" s="682">
        <v>2310</v>
      </c>
      <c r="J2135" s="668" t="str">
        <f t="shared" ref="J2135:J2137" si="370">E2135</f>
        <v>(a) Legal Services</v>
      </c>
      <c r="L2135" s="668">
        <v>98</v>
      </c>
      <c r="M2135" s="669">
        <v>93</v>
      </c>
      <c r="N2135" s="668"/>
      <c r="O2135" s="668">
        <v>15</v>
      </c>
      <c r="P2135" s="668" t="str">
        <f>IFERROR(VLOOKUP(F2135, [2]MOE!B:C, 2, FALSE), "No")</f>
        <v>No</v>
      </c>
      <c r="Q2135" s="711"/>
      <c r="S2135" s="670" t="s">
        <v>2943</v>
      </c>
      <c r="T2135" s="668" t="s">
        <v>12</v>
      </c>
    </row>
    <row r="2136" spans="1:20">
      <c r="A2136" s="679">
        <v>3332310</v>
      </c>
      <c r="B2136" s="677"/>
      <c r="C2136" s="672"/>
      <c r="D2136" s="672"/>
      <c r="E2136" s="676" t="s">
        <v>2999</v>
      </c>
      <c r="F2136" s="680" t="s">
        <v>3000</v>
      </c>
      <c r="G2136" s="710">
        <v>333</v>
      </c>
      <c r="H2136" s="682">
        <v>2310</v>
      </c>
      <c r="J2136" s="668" t="str">
        <f t="shared" si="370"/>
        <v>(b) Audit Services</v>
      </c>
      <c r="L2136" s="668">
        <v>99</v>
      </c>
      <c r="M2136" s="669">
        <v>94</v>
      </c>
      <c r="N2136" s="668"/>
      <c r="O2136" s="668">
        <v>15</v>
      </c>
      <c r="P2136" s="668" t="str">
        <f>IFERROR(VLOOKUP(F2136, [2]MOE!B:C, 2, FALSE), "No")</f>
        <v>No</v>
      </c>
      <c r="Q2136" s="711"/>
      <c r="S2136" s="670" t="s">
        <v>2943</v>
      </c>
      <c r="T2136" s="668" t="s">
        <v>3001</v>
      </c>
    </row>
    <row r="2137" spans="1:20">
      <c r="A2137" s="679">
        <v>3002310</v>
      </c>
      <c r="B2137" s="677"/>
      <c r="C2137" s="672"/>
      <c r="D2137" s="672"/>
      <c r="E2137" s="676" t="s">
        <v>3002</v>
      </c>
      <c r="F2137" s="680" t="s">
        <v>3003</v>
      </c>
      <c r="G2137" s="710">
        <v>300</v>
      </c>
      <c r="H2137" s="682">
        <v>2310</v>
      </c>
      <c r="J2137" s="668" t="str">
        <f t="shared" si="370"/>
        <v>(3) Other Purchased Prof. and Tech. Svcs</v>
      </c>
      <c r="L2137" s="668">
        <v>101</v>
      </c>
      <c r="M2137" s="669">
        <v>96</v>
      </c>
      <c r="N2137" s="668"/>
      <c r="O2137" s="668">
        <v>15</v>
      </c>
      <c r="P2137" s="668" t="str">
        <f>IFERROR(VLOOKUP(F2137, [2]MOE!B:C, 2, FALSE), "No")</f>
        <v>No</v>
      </c>
      <c r="Q2137" s="711"/>
      <c r="S2137" s="670" t="s">
        <v>2943</v>
      </c>
      <c r="T2137" s="668" t="s">
        <v>3004</v>
      </c>
    </row>
    <row r="2138" spans="1:20">
      <c r="A2138" s="671"/>
      <c r="B2138" s="677"/>
      <c r="C2138" s="672"/>
      <c r="D2138" s="672" t="s">
        <v>801</v>
      </c>
      <c r="E2138" s="676" t="s">
        <v>250</v>
      </c>
      <c r="F2138" s="675"/>
      <c r="G2138" s="672"/>
      <c r="H2138" s="676"/>
      <c r="Q2138" s="711"/>
      <c r="S2138" s="670"/>
    </row>
    <row r="2139" spans="1:20">
      <c r="A2139" s="679">
        <v>4302310</v>
      </c>
      <c r="B2139" s="677"/>
      <c r="C2139" s="672"/>
      <c r="D2139" s="672"/>
      <c r="E2139" s="676" t="s">
        <v>1115</v>
      </c>
      <c r="F2139" s="680" t="s">
        <v>3005</v>
      </c>
      <c r="G2139" s="710">
        <v>430</v>
      </c>
      <c r="H2139" s="682">
        <v>2310</v>
      </c>
      <c r="J2139" s="668" t="str">
        <f t="shared" ref="J2139:J2140" si="371">E2139</f>
        <v>(1) Repairs and Maintenance Services</v>
      </c>
      <c r="L2139" s="668">
        <v>107</v>
      </c>
      <c r="M2139" s="669">
        <v>102</v>
      </c>
      <c r="N2139" s="668"/>
      <c r="O2139" s="668">
        <v>15</v>
      </c>
      <c r="P2139" s="668" t="str">
        <f>IFERROR(VLOOKUP(F2139, [2]MOE!B:C, 2, FALSE), "No")</f>
        <v>No</v>
      </c>
      <c r="Q2139" s="711"/>
      <c r="S2139" s="670" t="s">
        <v>2943</v>
      </c>
      <c r="T2139" s="668" t="s">
        <v>1023</v>
      </c>
    </row>
    <row r="2140" spans="1:20">
      <c r="A2140" s="679">
        <v>4002310</v>
      </c>
      <c r="B2140" s="677"/>
      <c r="C2140" s="672"/>
      <c r="D2140" s="672"/>
      <c r="E2140" s="676" t="s">
        <v>3006</v>
      </c>
      <c r="F2140" s="680" t="s">
        <v>3007</v>
      </c>
      <c r="G2140" s="710">
        <v>400</v>
      </c>
      <c r="H2140" s="682">
        <v>2310</v>
      </c>
      <c r="J2140" s="668" t="str">
        <f t="shared" si="371"/>
        <v>(2) Other Purchased Property Services</v>
      </c>
      <c r="L2140" s="668">
        <v>108</v>
      </c>
      <c r="M2140" s="669">
        <v>103</v>
      </c>
      <c r="N2140" s="668"/>
      <c r="O2140" s="668">
        <v>15</v>
      </c>
      <c r="P2140" s="668" t="str">
        <f>IFERROR(VLOOKUP(F2140, [2]MOE!B:C, 2, FALSE), "No")</f>
        <v>No</v>
      </c>
      <c r="Q2140" s="711"/>
      <c r="S2140" s="670" t="s">
        <v>2943</v>
      </c>
      <c r="T2140" s="668" t="s">
        <v>1027</v>
      </c>
    </row>
    <row r="2141" spans="1:20">
      <c r="A2141" s="671"/>
      <c r="B2141" s="677"/>
      <c r="C2141" s="672"/>
      <c r="D2141" s="672" t="s">
        <v>805</v>
      </c>
      <c r="E2141" s="676" t="s">
        <v>252</v>
      </c>
      <c r="F2141" s="675"/>
      <c r="G2141" s="672"/>
      <c r="H2141" s="676"/>
      <c r="Q2141" s="711"/>
      <c r="S2141" s="670"/>
    </row>
    <row r="2142" spans="1:20">
      <c r="A2142" s="671"/>
      <c r="B2142" s="677"/>
      <c r="C2142" s="672"/>
      <c r="D2142" s="672"/>
      <c r="E2142" s="676" t="s">
        <v>3008</v>
      </c>
      <c r="F2142" s="675"/>
      <c r="G2142" s="672"/>
      <c r="H2142" s="676"/>
      <c r="Q2142" s="711"/>
      <c r="S2142" s="670"/>
    </row>
    <row r="2143" spans="1:20">
      <c r="A2143" s="679">
        <v>5212310</v>
      </c>
      <c r="B2143" s="677"/>
      <c r="C2143" s="672"/>
      <c r="D2143" s="672"/>
      <c r="E2143" s="676" t="s">
        <v>3009</v>
      </c>
      <c r="F2143" s="680" t="s">
        <v>3010</v>
      </c>
      <c r="G2143" s="710">
        <v>521</v>
      </c>
      <c r="H2143" s="682">
        <v>2310</v>
      </c>
      <c r="J2143" s="668" t="str">
        <f t="shared" ref="J2143:J2147" si="372">E2143</f>
        <v>(a) Liability Insurance</v>
      </c>
      <c r="L2143" s="668">
        <v>113</v>
      </c>
      <c r="M2143" s="669">
        <v>107</v>
      </c>
      <c r="N2143" s="668"/>
      <c r="O2143" s="668">
        <v>15</v>
      </c>
      <c r="P2143" s="668" t="str">
        <f>IFERROR(VLOOKUP(F2143, [2]MOE!B:C, 2, FALSE), "No")</f>
        <v>No</v>
      </c>
      <c r="Q2143" s="711"/>
      <c r="S2143" s="670" t="s">
        <v>2943</v>
      </c>
      <c r="T2143" s="668" t="s">
        <v>3011</v>
      </c>
    </row>
    <row r="2144" spans="1:20">
      <c r="A2144" s="679">
        <v>5242310</v>
      </c>
      <c r="B2144" s="677"/>
      <c r="C2144" s="672"/>
      <c r="D2144" s="672"/>
      <c r="E2144" s="676" t="s">
        <v>3012</v>
      </c>
      <c r="F2144" s="680" t="s">
        <v>3013</v>
      </c>
      <c r="G2144" s="710">
        <v>524</v>
      </c>
      <c r="H2144" s="682">
        <v>2310</v>
      </c>
      <c r="J2144" s="668" t="str">
        <f t="shared" si="372"/>
        <v>(b) Errors and Omissions</v>
      </c>
      <c r="L2144" s="668">
        <v>115</v>
      </c>
      <c r="M2144" s="669">
        <v>107</v>
      </c>
      <c r="N2144" s="668"/>
      <c r="O2144" s="668">
        <v>15</v>
      </c>
      <c r="P2144" s="668" t="str">
        <f>IFERROR(VLOOKUP(F2144, [2]MOE!B:C, 2, FALSE), "No")</f>
        <v>No</v>
      </c>
      <c r="Q2144" s="711"/>
      <c r="S2144" s="670" t="s">
        <v>2943</v>
      </c>
      <c r="T2144" s="668" t="s">
        <v>3014</v>
      </c>
    </row>
    <row r="2145" spans="1:20">
      <c r="A2145" s="679">
        <v>5252310</v>
      </c>
      <c r="B2145" s="677"/>
      <c r="C2145" s="672"/>
      <c r="D2145" s="672"/>
      <c r="E2145" s="676" t="s">
        <v>3015</v>
      </c>
      <c r="F2145" s="680" t="s">
        <v>3016</v>
      </c>
      <c r="G2145" s="710">
        <v>525</v>
      </c>
      <c r="H2145" s="682">
        <v>2310</v>
      </c>
      <c r="J2145" s="668" t="str">
        <f t="shared" si="372"/>
        <v>(c) Faithful Performance</v>
      </c>
      <c r="L2145" s="668">
        <v>116</v>
      </c>
      <c r="M2145" s="669">
        <v>107</v>
      </c>
      <c r="N2145" s="668"/>
      <c r="O2145" s="668">
        <v>15</v>
      </c>
      <c r="P2145" s="668" t="str">
        <f>IFERROR(VLOOKUP(F2145, [2]MOE!B:C, 2, FALSE), "No")</f>
        <v>No</v>
      </c>
      <c r="Q2145" s="711"/>
      <c r="S2145" s="670" t="s">
        <v>2943</v>
      </c>
      <c r="T2145" s="668" t="s">
        <v>3017</v>
      </c>
    </row>
    <row r="2146" spans="1:20">
      <c r="A2146" s="679">
        <v>5302310</v>
      </c>
      <c r="B2146" s="677"/>
      <c r="C2146" s="672"/>
      <c r="D2146" s="672"/>
      <c r="E2146" s="676" t="s">
        <v>3018</v>
      </c>
      <c r="F2146" s="680" t="s">
        <v>3019</v>
      </c>
      <c r="G2146" s="710">
        <v>530</v>
      </c>
      <c r="H2146" s="682">
        <v>2310</v>
      </c>
      <c r="J2146" s="668" t="str">
        <f t="shared" si="372"/>
        <v>(2) Communications (phone/internet/post)</v>
      </c>
      <c r="L2146" s="668">
        <v>119</v>
      </c>
      <c r="M2146" s="669">
        <v>110</v>
      </c>
      <c r="N2146" s="668"/>
      <c r="O2146" s="668">
        <v>15</v>
      </c>
      <c r="P2146" s="668" t="str">
        <f>IFERROR(VLOOKUP(F2146, [2]MOE!B:C, 2, FALSE), "No")</f>
        <v>No</v>
      </c>
      <c r="Q2146" s="711"/>
      <c r="S2146" s="670" t="s">
        <v>2943</v>
      </c>
      <c r="T2146" s="668" t="s">
        <v>3020</v>
      </c>
    </row>
    <row r="2147" spans="1:20">
      <c r="A2147" s="679">
        <v>5402310</v>
      </c>
      <c r="B2147" s="677"/>
      <c r="C2147" s="672"/>
      <c r="D2147" s="672"/>
      <c r="E2147" s="676" t="s">
        <v>3021</v>
      </c>
      <c r="F2147" s="680" t="s">
        <v>3022</v>
      </c>
      <c r="G2147" s="710">
        <v>540</v>
      </c>
      <c r="H2147" s="682">
        <v>2310</v>
      </c>
      <c r="J2147" s="668" t="str">
        <f t="shared" si="372"/>
        <v>(3) Advertising/Public Notices/Bd Minutes</v>
      </c>
      <c r="L2147" s="668">
        <v>119</v>
      </c>
      <c r="M2147" s="669">
        <v>110</v>
      </c>
      <c r="N2147" s="668"/>
      <c r="O2147" s="668">
        <v>15</v>
      </c>
      <c r="P2147" s="668" t="str">
        <f>IFERROR(VLOOKUP(F2147, [2]MOE!B:C, 2, FALSE), "No")</f>
        <v>No</v>
      </c>
      <c r="Q2147" s="711"/>
      <c r="S2147" s="670" t="s">
        <v>2943</v>
      </c>
      <c r="T2147" s="668" t="s">
        <v>3023</v>
      </c>
    </row>
    <row r="2148" spans="1:20">
      <c r="A2148" s="671"/>
      <c r="B2148" s="677"/>
      <c r="C2148" s="672"/>
      <c r="D2148" s="672"/>
      <c r="E2148" s="676" t="s">
        <v>3024</v>
      </c>
      <c r="F2148" s="675"/>
      <c r="G2148" s="672"/>
      <c r="H2148" s="676"/>
      <c r="Q2148" s="711"/>
      <c r="S2148" s="670"/>
    </row>
    <row r="2149" spans="1:20">
      <c r="A2149" s="679">
        <v>5812315</v>
      </c>
      <c r="B2149" s="677"/>
      <c r="C2149" s="672"/>
      <c r="D2149" s="672"/>
      <c r="E2149" s="676" t="s">
        <v>3025</v>
      </c>
      <c r="F2149" s="680" t="s">
        <v>3026</v>
      </c>
      <c r="G2149" s="710">
        <v>581</v>
      </c>
      <c r="H2149" s="682">
        <v>2315</v>
      </c>
      <c r="J2149" s="668" t="str">
        <f t="shared" ref="J2149:J2153" si="373">E2149</f>
        <v>(a) Mileage Allowance - Tax A &amp; C Svcs</v>
      </c>
      <c r="L2149" s="668">
        <v>118</v>
      </c>
      <c r="M2149" s="669">
        <v>109</v>
      </c>
      <c r="N2149" s="668"/>
      <c r="O2149" s="668">
        <v>15</v>
      </c>
      <c r="P2149" s="668" t="str">
        <f>IFERROR(VLOOKUP(F2149, [2]MOE!B:C, 2, FALSE), "No")</f>
        <v>No</v>
      </c>
      <c r="Q2149" s="711"/>
      <c r="S2149" s="670" t="s">
        <v>2943</v>
      </c>
      <c r="T2149" s="668" t="s">
        <v>3027</v>
      </c>
    </row>
    <row r="2150" spans="1:20">
      <c r="A2150" s="679">
        <v>5812310</v>
      </c>
      <c r="B2150" s="677"/>
      <c r="C2150" s="672"/>
      <c r="D2150" s="672"/>
      <c r="E2150" s="676" t="s">
        <v>3028</v>
      </c>
      <c r="F2150" s="680" t="s">
        <v>3029</v>
      </c>
      <c r="G2150" s="710">
        <v>581</v>
      </c>
      <c r="H2150" s="682">
        <v>2310</v>
      </c>
      <c r="J2150" s="668" t="str">
        <f t="shared" si="373"/>
        <v>(b) Mileage Allowance - Other</v>
      </c>
      <c r="L2150" s="668">
        <v>118</v>
      </c>
      <c r="M2150" s="669">
        <v>109</v>
      </c>
      <c r="N2150" s="668"/>
      <c r="O2150" s="668">
        <v>15</v>
      </c>
      <c r="P2150" s="668" t="str">
        <f>IFERROR(VLOOKUP(F2150, [2]MOE!B:C, 2, FALSE), "No")</f>
        <v>No</v>
      </c>
      <c r="Q2150" s="711"/>
      <c r="S2150" s="670" t="s">
        <v>2943</v>
      </c>
      <c r="T2150" s="668" t="s">
        <v>3030</v>
      </c>
    </row>
    <row r="2151" spans="1:20">
      <c r="A2151" s="679">
        <v>5822315</v>
      </c>
      <c r="B2151" s="677"/>
      <c r="C2151" s="672"/>
      <c r="D2151" s="672"/>
      <c r="E2151" s="676" t="s">
        <v>3031</v>
      </c>
      <c r="F2151" s="680" t="s">
        <v>3032</v>
      </c>
      <c r="G2151" s="710">
        <v>582</v>
      </c>
      <c r="H2151" s="682">
        <v>2315</v>
      </c>
      <c r="J2151" s="668" t="str">
        <f t="shared" si="373"/>
        <v>(c) Travel Expense Reimburse. - Tax A &amp; C</v>
      </c>
      <c r="L2151" s="668">
        <v>118</v>
      </c>
      <c r="M2151" s="669">
        <v>109</v>
      </c>
      <c r="N2151" s="668"/>
      <c r="O2151" s="668">
        <v>15</v>
      </c>
      <c r="P2151" s="668" t="str">
        <f>IFERROR(VLOOKUP(F2151, [2]MOE!B:C, 2, FALSE), "No")</f>
        <v>No</v>
      </c>
      <c r="Q2151" s="711"/>
      <c r="S2151" s="670" t="s">
        <v>2943</v>
      </c>
      <c r="T2151" s="668" t="s">
        <v>3033</v>
      </c>
    </row>
    <row r="2152" spans="1:20">
      <c r="A2152" s="679">
        <v>5822310</v>
      </c>
      <c r="B2152" s="677"/>
      <c r="C2152" s="672"/>
      <c r="D2152" s="672"/>
      <c r="E2152" s="676" t="s">
        <v>3034</v>
      </c>
      <c r="F2152" s="680" t="s">
        <v>3035</v>
      </c>
      <c r="G2152" s="710">
        <v>582</v>
      </c>
      <c r="H2152" s="682">
        <v>2310</v>
      </c>
      <c r="J2152" s="668" t="str">
        <f t="shared" si="373"/>
        <v>(d) Travel Expense Reimbursement - Other</v>
      </c>
      <c r="L2152" s="668">
        <v>118</v>
      </c>
      <c r="M2152" s="669">
        <v>109</v>
      </c>
      <c r="N2152" s="668"/>
      <c r="O2152" s="668">
        <v>15</v>
      </c>
      <c r="P2152" s="668" t="str">
        <f>IFERROR(VLOOKUP(F2152, [2]MOE!B:C, 2, FALSE), "No")</f>
        <v>No</v>
      </c>
      <c r="Q2152" s="711"/>
      <c r="S2152" s="670" t="s">
        <v>2943</v>
      </c>
      <c r="T2152" s="668" t="s">
        <v>3036</v>
      </c>
    </row>
    <row r="2153" spans="1:20">
      <c r="A2153" s="679">
        <v>5002310</v>
      </c>
      <c r="B2153" s="677"/>
      <c r="C2153" s="672"/>
      <c r="D2153" s="672"/>
      <c r="E2153" s="676" t="s">
        <v>3037</v>
      </c>
      <c r="F2153" s="680" t="s">
        <v>3038</v>
      </c>
      <c r="G2153" s="710">
        <v>500</v>
      </c>
      <c r="H2153" s="682">
        <v>2310</v>
      </c>
      <c r="J2153" s="668" t="str">
        <f t="shared" si="373"/>
        <v>(5) Other Purchased Services</v>
      </c>
      <c r="L2153" s="668">
        <v>119</v>
      </c>
      <c r="M2153" s="669">
        <v>110</v>
      </c>
      <c r="N2153" s="668"/>
      <c r="O2153" s="668">
        <v>15</v>
      </c>
      <c r="P2153" s="668" t="str">
        <f>IFERROR(VLOOKUP(F2153, [2]MOE!B:C, 2, FALSE), "No")</f>
        <v>No</v>
      </c>
      <c r="Q2153" s="711"/>
      <c r="S2153" s="670" t="s">
        <v>2943</v>
      </c>
      <c r="T2153" s="668" t="s">
        <v>252</v>
      </c>
    </row>
    <row r="2154" spans="1:20">
      <c r="A2154" s="671"/>
      <c r="B2154" s="677"/>
      <c r="C2154" s="672"/>
      <c r="D2154" s="672" t="s">
        <v>850</v>
      </c>
      <c r="E2154" s="676" t="s">
        <v>254</v>
      </c>
      <c r="F2154" s="675"/>
      <c r="G2154" s="672"/>
      <c r="H2154" s="676"/>
      <c r="Q2154" s="711"/>
      <c r="S2154" s="670"/>
    </row>
    <row r="2155" spans="1:20">
      <c r="A2155" s="679">
        <v>6152315</v>
      </c>
      <c r="B2155" s="677"/>
      <c r="C2155" s="672"/>
      <c r="D2155" s="672"/>
      <c r="E2155" s="676" t="s">
        <v>3039</v>
      </c>
      <c r="F2155" s="680" t="s">
        <v>3040</v>
      </c>
      <c r="G2155" s="710">
        <v>615</v>
      </c>
      <c r="H2155" s="682">
        <v>2315</v>
      </c>
      <c r="J2155" s="668" t="str">
        <f t="shared" ref="J2155:J2160" si="374">E2155</f>
        <v>(1) Technology-Related Supplies - Tax A &amp; C</v>
      </c>
      <c r="L2155" s="668">
        <v>126</v>
      </c>
      <c r="M2155" s="669">
        <v>117</v>
      </c>
      <c r="N2155" s="668"/>
      <c r="O2155" s="668">
        <v>15</v>
      </c>
      <c r="P2155" s="668" t="str">
        <f>IFERROR(VLOOKUP(F2155, [2]MOE!B:C, 2, FALSE), "No")</f>
        <v>No</v>
      </c>
      <c r="Q2155" s="711" t="s">
        <v>1045</v>
      </c>
      <c r="S2155" s="670" t="s">
        <v>2943</v>
      </c>
      <c r="T2155" s="668" t="s">
        <v>3041</v>
      </c>
    </row>
    <row r="2156" spans="1:20">
      <c r="A2156" s="679">
        <v>6152310</v>
      </c>
      <c r="B2156" s="677"/>
      <c r="C2156" s="672"/>
      <c r="D2156" s="672"/>
      <c r="E2156" s="676" t="s">
        <v>3042</v>
      </c>
      <c r="F2156" s="680" t="s">
        <v>3043</v>
      </c>
      <c r="G2156" s="710">
        <v>615</v>
      </c>
      <c r="H2156" s="682">
        <v>2310</v>
      </c>
      <c r="J2156" s="668" t="str">
        <f t="shared" si="374"/>
        <v>(2) Technology-Related Supplies - Other</v>
      </c>
      <c r="L2156" s="668">
        <v>126</v>
      </c>
      <c r="M2156" s="669">
        <v>117</v>
      </c>
      <c r="N2156" s="668"/>
      <c r="O2156" s="668">
        <v>15</v>
      </c>
      <c r="P2156" s="668" t="str">
        <f>IFERROR(VLOOKUP(F2156, [2]MOE!B:C, 2, FALSE), "No")</f>
        <v>No</v>
      </c>
      <c r="Q2156" s="711" t="s">
        <v>1045</v>
      </c>
      <c r="S2156" s="670" t="s">
        <v>2943</v>
      </c>
      <c r="T2156" s="668" t="s">
        <v>3044</v>
      </c>
    </row>
    <row r="2157" spans="1:20">
      <c r="A2157" s="679">
        <v>6102315</v>
      </c>
      <c r="B2157" s="677"/>
      <c r="C2157" s="672"/>
      <c r="D2157" s="672"/>
      <c r="E2157" s="676" t="s">
        <v>3045</v>
      </c>
      <c r="F2157" s="680" t="s">
        <v>3046</v>
      </c>
      <c r="G2157" s="710">
        <v>610</v>
      </c>
      <c r="H2157" s="682">
        <v>2315</v>
      </c>
      <c r="J2157" s="668" t="str">
        <f t="shared" si="374"/>
        <v>(3) Materials and Supplies - Tax A &amp; C Svcs</v>
      </c>
      <c r="L2157" s="668">
        <v>122</v>
      </c>
      <c r="M2157" s="669">
        <v>113</v>
      </c>
      <c r="N2157" s="668"/>
      <c r="O2157" s="668">
        <v>15</v>
      </c>
      <c r="P2157" s="668" t="str">
        <f>IFERROR(VLOOKUP(F2157, [2]MOE!B:C, 2, FALSE), "No")</f>
        <v>No</v>
      </c>
      <c r="Q2157" s="711" t="s">
        <v>1045</v>
      </c>
      <c r="S2157" s="670" t="s">
        <v>2943</v>
      </c>
      <c r="T2157" s="668" t="s">
        <v>3047</v>
      </c>
    </row>
    <row r="2158" spans="1:20">
      <c r="A2158" s="679">
        <v>6102310</v>
      </c>
      <c r="B2158" s="677"/>
      <c r="C2158" s="672"/>
      <c r="D2158" s="672"/>
      <c r="E2158" s="676" t="s">
        <v>3048</v>
      </c>
      <c r="F2158" s="680" t="s">
        <v>3049</v>
      </c>
      <c r="G2158" s="710">
        <v>610</v>
      </c>
      <c r="H2158" s="682">
        <v>2310</v>
      </c>
      <c r="J2158" s="668" t="str">
        <f t="shared" si="374"/>
        <v>(4) Materials and Supplies - Other</v>
      </c>
      <c r="L2158" s="668">
        <v>122</v>
      </c>
      <c r="M2158" s="669">
        <v>113</v>
      </c>
      <c r="N2158" s="668"/>
      <c r="O2158" s="668">
        <v>15</v>
      </c>
      <c r="P2158" s="668" t="str">
        <f>IFERROR(VLOOKUP(F2158, [2]MOE!B:C, 2, FALSE), "No")</f>
        <v>No</v>
      </c>
      <c r="Q2158" s="711" t="s">
        <v>1045</v>
      </c>
      <c r="S2158" s="670" t="s">
        <v>2943</v>
      </c>
      <c r="T2158" s="668" t="s">
        <v>3050</v>
      </c>
    </row>
    <row r="2159" spans="1:20">
      <c r="A2159" s="679">
        <v>6002315</v>
      </c>
      <c r="B2159" s="677"/>
      <c r="C2159" s="672"/>
      <c r="D2159" s="672"/>
      <c r="E2159" s="676" t="s">
        <v>3051</v>
      </c>
      <c r="F2159" s="680" t="s">
        <v>3052</v>
      </c>
      <c r="G2159" s="710">
        <v>600</v>
      </c>
      <c r="H2159" s="682">
        <v>2315</v>
      </c>
      <c r="J2159" s="668" t="str">
        <f t="shared" si="374"/>
        <v>(5) Other Supplies - Tax A &amp; C Svcs</v>
      </c>
      <c r="L2159" s="668">
        <v>126</v>
      </c>
      <c r="M2159" s="669">
        <v>117</v>
      </c>
      <c r="N2159" s="668"/>
      <c r="O2159" s="668">
        <v>15</v>
      </c>
      <c r="P2159" s="668" t="str">
        <f>IFERROR(VLOOKUP(F2159, [2]MOE!B:C, 2, FALSE), "No")</f>
        <v>No</v>
      </c>
      <c r="Q2159" s="711"/>
      <c r="S2159" s="670" t="s">
        <v>2943</v>
      </c>
      <c r="T2159" s="668" t="s">
        <v>3053</v>
      </c>
    </row>
    <row r="2160" spans="1:20">
      <c r="A2160" s="679">
        <v>6002310</v>
      </c>
      <c r="B2160" s="677"/>
      <c r="C2160" s="672"/>
      <c r="D2160" s="672"/>
      <c r="E2160" s="676" t="s">
        <v>3054</v>
      </c>
      <c r="F2160" s="680" t="s">
        <v>3055</v>
      </c>
      <c r="G2160" s="710">
        <v>600</v>
      </c>
      <c r="H2160" s="682">
        <v>2310</v>
      </c>
      <c r="J2160" s="668" t="str">
        <f t="shared" si="374"/>
        <v>(6) Other Supplies - Other</v>
      </c>
      <c r="L2160" s="668">
        <v>126</v>
      </c>
      <c r="M2160" s="669">
        <v>117</v>
      </c>
      <c r="N2160" s="668"/>
      <c r="O2160" s="668">
        <v>15</v>
      </c>
      <c r="P2160" s="668" t="str">
        <f>IFERROR(VLOOKUP(F2160, [2]MOE!B:C, 2, FALSE), "No")</f>
        <v>No</v>
      </c>
      <c r="Q2160" s="711"/>
      <c r="S2160" s="670" t="s">
        <v>2943</v>
      </c>
      <c r="T2160" s="668" t="s">
        <v>3056</v>
      </c>
    </row>
    <row r="2161" spans="1:20">
      <c r="A2161" s="671"/>
      <c r="B2161" s="677"/>
      <c r="C2161" s="672"/>
      <c r="D2161" s="672" t="s">
        <v>853</v>
      </c>
      <c r="E2161" s="676" t="s">
        <v>1052</v>
      </c>
      <c r="F2161" s="675"/>
      <c r="G2161" s="672"/>
      <c r="H2161" s="676"/>
      <c r="Q2161" s="711"/>
      <c r="S2161" s="670"/>
    </row>
    <row r="2162" spans="1:20">
      <c r="A2162" s="679">
        <v>7342310</v>
      </c>
      <c r="B2162" s="677"/>
      <c r="C2162" s="672"/>
      <c r="D2162" s="672"/>
      <c r="E2162" s="676" t="s">
        <v>1147</v>
      </c>
      <c r="F2162" s="680" t="s">
        <v>3057</v>
      </c>
      <c r="G2162" s="710">
        <v>734</v>
      </c>
      <c r="H2162" s="682">
        <v>2310</v>
      </c>
      <c r="J2162" s="668" t="str">
        <f t="shared" ref="J2162:J2165" si="375">E2162</f>
        <v>(1) Technology-Related Hardware</v>
      </c>
      <c r="L2162" s="668">
        <v>131</v>
      </c>
      <c r="M2162" s="669">
        <v>122</v>
      </c>
      <c r="N2162" s="668"/>
      <c r="O2162" s="668">
        <v>15</v>
      </c>
      <c r="P2162" s="668" t="str">
        <f>IFERROR(VLOOKUP(F2162, [2]MOE!B:C, 2, FALSE), "No")</f>
        <v>No</v>
      </c>
      <c r="Q2162" s="711"/>
      <c r="S2162" s="670" t="s">
        <v>2943</v>
      </c>
      <c r="T2162" s="668" t="s">
        <v>1053</v>
      </c>
    </row>
    <row r="2163" spans="1:20">
      <c r="A2163" s="679">
        <v>7352310</v>
      </c>
      <c r="B2163" s="677"/>
      <c r="C2163" s="672"/>
      <c r="D2163" s="672"/>
      <c r="E2163" s="676" t="s">
        <v>1149</v>
      </c>
      <c r="F2163" s="680" t="s">
        <v>3058</v>
      </c>
      <c r="G2163" s="710">
        <v>735</v>
      </c>
      <c r="H2163" s="682">
        <v>2310</v>
      </c>
      <c r="J2163" s="668" t="str">
        <f t="shared" si="375"/>
        <v>(2) Technology Software</v>
      </c>
      <c r="L2163" s="668">
        <v>131</v>
      </c>
      <c r="M2163" s="669">
        <v>122</v>
      </c>
      <c r="N2163" s="668"/>
      <c r="O2163" s="668">
        <v>15</v>
      </c>
      <c r="P2163" s="668" t="str">
        <f>IFERROR(VLOOKUP(F2163, [2]MOE!B:C, 2, FALSE), "No")</f>
        <v>No</v>
      </c>
      <c r="Q2163" s="711"/>
      <c r="S2163" s="670" t="s">
        <v>2943</v>
      </c>
      <c r="T2163" s="668" t="s">
        <v>1055</v>
      </c>
    </row>
    <row r="2164" spans="1:20">
      <c r="A2164" s="679">
        <v>7302310</v>
      </c>
      <c r="B2164" s="677"/>
      <c r="C2164" s="672"/>
      <c r="D2164" s="672"/>
      <c r="E2164" s="676" t="s">
        <v>1151</v>
      </c>
      <c r="F2164" s="680" t="s">
        <v>3059</v>
      </c>
      <c r="G2164" s="710">
        <v>730</v>
      </c>
      <c r="H2164" s="682">
        <v>2310</v>
      </c>
      <c r="J2164" s="668" t="str">
        <f t="shared" si="375"/>
        <v>(3) All Other Equipment</v>
      </c>
      <c r="L2164" s="668">
        <v>131</v>
      </c>
      <c r="M2164" s="669">
        <v>122</v>
      </c>
      <c r="N2164" s="668"/>
      <c r="O2164" s="668">
        <v>15</v>
      </c>
      <c r="P2164" s="668" t="str">
        <f>IFERROR(VLOOKUP(F2164, [2]MOE!B:C, 2, FALSE), "No")</f>
        <v>No</v>
      </c>
      <c r="Q2164" s="711"/>
      <c r="S2164" s="670" t="s">
        <v>2943</v>
      </c>
      <c r="T2164" s="668" t="s">
        <v>1057</v>
      </c>
    </row>
    <row r="2165" spans="1:20">
      <c r="A2165" s="679">
        <v>7002310</v>
      </c>
      <c r="B2165" s="677"/>
      <c r="C2165" s="672"/>
      <c r="D2165" s="672"/>
      <c r="E2165" s="676" t="s">
        <v>1153</v>
      </c>
      <c r="F2165" s="680" t="s">
        <v>3060</v>
      </c>
      <c r="G2165" s="710">
        <v>700</v>
      </c>
      <c r="H2165" s="682">
        <v>2310</v>
      </c>
      <c r="J2165" s="668" t="str">
        <f t="shared" si="375"/>
        <v>(4) Other Property</v>
      </c>
      <c r="L2165" s="668">
        <v>132</v>
      </c>
      <c r="M2165" s="669">
        <v>123</v>
      </c>
      <c r="N2165" s="668"/>
      <c r="O2165" s="668">
        <v>15</v>
      </c>
      <c r="P2165" s="668" t="str">
        <f>IFERROR(VLOOKUP(F2165, [2]MOE!B:C, 2, FALSE), "No")</f>
        <v>No</v>
      </c>
      <c r="Q2165" s="711"/>
      <c r="S2165" s="670" t="s">
        <v>2943</v>
      </c>
      <c r="T2165" s="668" t="s">
        <v>1059</v>
      </c>
    </row>
    <row r="2166" spans="1:20">
      <c r="A2166" s="671"/>
      <c r="B2166" s="677"/>
      <c r="C2166" s="672"/>
      <c r="D2166" s="672" t="s">
        <v>856</v>
      </c>
      <c r="E2166" s="676" t="s">
        <v>3061</v>
      </c>
      <c r="F2166" s="675"/>
      <c r="G2166" s="672"/>
      <c r="H2166" s="676"/>
      <c r="Q2166" s="711"/>
      <c r="S2166" s="670"/>
    </row>
    <row r="2167" spans="1:20">
      <c r="A2167" s="679">
        <v>8102310</v>
      </c>
      <c r="B2167" s="677"/>
      <c r="C2167" s="672"/>
      <c r="D2167" s="672"/>
      <c r="E2167" s="676" t="s">
        <v>3062</v>
      </c>
      <c r="F2167" s="680" t="s">
        <v>3063</v>
      </c>
      <c r="G2167" s="710">
        <v>810</v>
      </c>
      <c r="H2167" s="682">
        <v>2310</v>
      </c>
      <c r="J2167" s="668" t="str">
        <f t="shared" ref="J2167:J2170" si="376">E2167</f>
        <v>(1) Dues and Fees</v>
      </c>
      <c r="L2167" s="668">
        <v>136</v>
      </c>
      <c r="M2167" s="669">
        <v>129</v>
      </c>
      <c r="N2167" s="668"/>
      <c r="O2167" s="668">
        <v>15</v>
      </c>
      <c r="P2167" s="668" t="str">
        <f>IFERROR(VLOOKUP(F2167, [2]MOE!B:C, 2, FALSE), "No")</f>
        <v>No</v>
      </c>
      <c r="Q2167" s="711"/>
      <c r="S2167" s="670" t="s">
        <v>2943</v>
      </c>
      <c r="T2167" s="668" t="s">
        <v>145</v>
      </c>
    </row>
    <row r="2168" spans="1:20">
      <c r="A2168" s="679">
        <v>8202310</v>
      </c>
      <c r="B2168" s="677"/>
      <c r="C2168" s="672"/>
      <c r="D2168" s="672"/>
      <c r="E2168" s="676" t="s">
        <v>3064</v>
      </c>
      <c r="F2168" s="680" t="s">
        <v>3065</v>
      </c>
      <c r="G2168" s="710">
        <v>820</v>
      </c>
      <c r="H2168" s="682">
        <v>2310</v>
      </c>
      <c r="J2168" s="668" t="str">
        <f t="shared" si="376"/>
        <v>(2) Judgements</v>
      </c>
      <c r="L2168" s="668">
        <v>139</v>
      </c>
      <c r="M2168" s="669">
        <v>129</v>
      </c>
      <c r="N2168" s="668"/>
      <c r="O2168" s="668">
        <v>15</v>
      </c>
      <c r="P2168" s="668" t="str">
        <f>IFERROR(VLOOKUP(F2168, [2]MOE!B:C, 2, FALSE), "No")</f>
        <v>No</v>
      </c>
      <c r="Q2168" s="711"/>
      <c r="S2168" s="670" t="s">
        <v>2943</v>
      </c>
      <c r="T2168" s="668" t="s">
        <v>3066</v>
      </c>
    </row>
    <row r="2169" spans="1:20">
      <c r="A2169" s="679">
        <v>8952310</v>
      </c>
      <c r="B2169" s="677"/>
      <c r="C2169" s="672"/>
      <c r="D2169" s="672"/>
      <c r="E2169" s="676" t="s">
        <v>3067</v>
      </c>
      <c r="F2169" s="680" t="s">
        <v>3068</v>
      </c>
      <c r="G2169" s="710">
        <v>895</v>
      </c>
      <c r="H2169" s="682">
        <v>2310</v>
      </c>
      <c r="J2169" s="668" t="str">
        <f t="shared" si="376"/>
        <v>(3) Miscellaneous Non-Public Expenditures</v>
      </c>
      <c r="L2169" s="668">
        <v>139</v>
      </c>
      <c r="M2169" s="669">
        <v>129</v>
      </c>
      <c r="N2169" s="668"/>
      <c r="O2169" s="668">
        <v>15</v>
      </c>
      <c r="P2169" s="668" t="str">
        <f>IFERROR(VLOOKUP(F2169, [2]MOE!B:C, 2, FALSE), "No")</f>
        <v>No</v>
      </c>
      <c r="Q2169" s="711"/>
      <c r="S2169" s="670" t="s">
        <v>2943</v>
      </c>
      <c r="T2169" s="668" t="s">
        <v>1061</v>
      </c>
    </row>
    <row r="2170" spans="1:20">
      <c r="A2170" s="679">
        <v>8002310</v>
      </c>
      <c r="B2170" s="677"/>
      <c r="C2170" s="672"/>
      <c r="D2170" s="672"/>
      <c r="E2170" s="676" t="s">
        <v>3069</v>
      </c>
      <c r="F2170" s="680" t="s">
        <v>3070</v>
      </c>
      <c r="G2170" s="710">
        <v>800</v>
      </c>
      <c r="H2170" s="682">
        <v>2310</v>
      </c>
      <c r="J2170" s="668" t="str">
        <f t="shared" si="376"/>
        <v>(4) Miscellaneous Expenditures</v>
      </c>
      <c r="L2170" s="668">
        <v>139</v>
      </c>
      <c r="M2170" s="669">
        <v>129</v>
      </c>
      <c r="N2170" s="668"/>
      <c r="O2170" s="668">
        <v>15</v>
      </c>
      <c r="P2170" s="668" t="str">
        <f>IFERROR(VLOOKUP(F2170, [2]MOE!B:C, 2, FALSE), "No")</f>
        <v>No</v>
      </c>
      <c r="Q2170" s="711"/>
      <c r="S2170" s="670" t="s">
        <v>2943</v>
      </c>
      <c r="T2170" s="668" t="s">
        <v>3071</v>
      </c>
    </row>
    <row r="2171" spans="1:20">
      <c r="A2171" s="671"/>
      <c r="B2171" s="677"/>
      <c r="C2171" s="672"/>
      <c r="D2171" s="672" t="s">
        <v>859</v>
      </c>
      <c r="E2171" s="676" t="s">
        <v>1065</v>
      </c>
      <c r="F2171" s="675"/>
      <c r="G2171" s="672"/>
      <c r="H2171" s="676"/>
      <c r="Q2171" s="711"/>
      <c r="S2171" s="670"/>
    </row>
    <row r="2172" spans="1:20">
      <c r="A2172" s="679">
        <v>2102310</v>
      </c>
      <c r="B2172" s="677"/>
      <c r="C2172" s="672"/>
      <c r="D2172" s="672"/>
      <c r="E2172" s="676" t="s">
        <v>1159</v>
      </c>
      <c r="F2172" s="680" t="s">
        <v>3072</v>
      </c>
      <c r="G2172" s="710">
        <v>210</v>
      </c>
      <c r="H2172" s="682">
        <v>2310</v>
      </c>
      <c r="J2172" s="668" t="str">
        <f t="shared" ref="J2172:J2174" si="377">E2172</f>
        <v>(1) Group Insurance</v>
      </c>
      <c r="L2172" s="668">
        <v>89</v>
      </c>
      <c r="M2172" s="669">
        <v>84</v>
      </c>
      <c r="N2172" s="668"/>
      <c r="O2172" s="668">
        <v>15</v>
      </c>
      <c r="P2172" s="668" t="str">
        <f>IFERROR(VLOOKUP(F2172, [2]MOE!B:C, 2, FALSE), "No")</f>
        <v>No</v>
      </c>
      <c r="Q2172" s="711"/>
      <c r="S2172" s="670" t="s">
        <v>2943</v>
      </c>
      <c r="T2172" s="668" t="s">
        <v>1066</v>
      </c>
    </row>
    <row r="2173" spans="1:20">
      <c r="A2173" s="679">
        <v>2202310</v>
      </c>
      <c r="B2173" s="677"/>
      <c r="C2173" s="672"/>
      <c r="D2173" s="672"/>
      <c r="E2173" s="676" t="s">
        <v>1161</v>
      </c>
      <c r="F2173" s="680" t="s">
        <v>3073</v>
      </c>
      <c r="G2173" s="710">
        <v>220</v>
      </c>
      <c r="H2173" s="682">
        <v>2310</v>
      </c>
      <c r="J2173" s="668" t="str">
        <f t="shared" si="377"/>
        <v>(2) FICA</v>
      </c>
      <c r="L2173" s="668">
        <v>90</v>
      </c>
      <c r="M2173" s="669">
        <v>85</v>
      </c>
      <c r="N2173" s="668"/>
      <c r="O2173" s="668">
        <v>15</v>
      </c>
      <c r="P2173" s="668" t="str">
        <f>IFERROR(VLOOKUP(F2173, [2]MOE!B:C, 2, FALSE), "No")</f>
        <v>No</v>
      </c>
      <c r="Q2173" s="711"/>
      <c r="S2173" s="670" t="s">
        <v>2943</v>
      </c>
      <c r="T2173" s="668" t="s">
        <v>1068</v>
      </c>
    </row>
    <row r="2174" spans="1:20">
      <c r="A2174" s="679">
        <v>2252310</v>
      </c>
      <c r="B2174" s="677"/>
      <c r="C2174" s="672"/>
      <c r="D2174" s="672"/>
      <c r="E2174" s="676" t="s">
        <v>1163</v>
      </c>
      <c r="F2174" s="680" t="s">
        <v>3074</v>
      </c>
      <c r="G2174" s="710">
        <v>225</v>
      </c>
      <c r="H2174" s="682">
        <v>2310</v>
      </c>
      <c r="J2174" s="668" t="str">
        <f t="shared" si="377"/>
        <v>(3) Medicare</v>
      </c>
      <c r="L2174" s="668">
        <v>91</v>
      </c>
      <c r="M2174" s="669">
        <v>86</v>
      </c>
      <c r="N2174" s="668"/>
      <c r="O2174" s="668">
        <v>15</v>
      </c>
      <c r="P2174" s="668" t="str">
        <f>IFERROR(VLOOKUP(F2174, [2]MOE!B:C, 2, FALSE), "No")</f>
        <v>No</v>
      </c>
      <c r="Q2174" s="711"/>
      <c r="S2174" s="670" t="s">
        <v>2943</v>
      </c>
      <c r="T2174" s="668" t="s">
        <v>23</v>
      </c>
    </row>
    <row r="2175" spans="1:20">
      <c r="A2175" s="671"/>
      <c r="B2175" s="677"/>
      <c r="C2175" s="672"/>
      <c r="D2175" s="672"/>
      <c r="E2175" s="676" t="s">
        <v>1165</v>
      </c>
      <c r="F2175" s="675"/>
      <c r="G2175" s="672"/>
      <c r="H2175" s="676"/>
      <c r="Q2175" s="711"/>
      <c r="S2175" s="670"/>
    </row>
    <row r="2176" spans="1:20">
      <c r="A2176" s="679">
        <v>2312310</v>
      </c>
      <c r="B2176" s="677"/>
      <c r="C2176" s="672"/>
      <c r="D2176" s="672"/>
      <c r="E2176" s="676" t="s">
        <v>1166</v>
      </c>
      <c r="F2176" s="680" t="s">
        <v>3075</v>
      </c>
      <c r="G2176" s="710">
        <v>231</v>
      </c>
      <c r="H2176" s="682">
        <v>2310</v>
      </c>
      <c r="J2176" s="668" t="str">
        <f t="shared" ref="J2176:J2184" si="378">E2176</f>
        <v>(a) Louisiana Teachers Retirement</v>
      </c>
      <c r="L2176" s="668">
        <v>92</v>
      </c>
      <c r="M2176" s="669">
        <v>87</v>
      </c>
      <c r="N2176" s="668"/>
      <c r="O2176" s="668">
        <v>15</v>
      </c>
      <c r="P2176" s="668" t="str">
        <f>IFERROR(VLOOKUP(F2176, [2]MOE!B:C, 2, FALSE), "No")</f>
        <v>No</v>
      </c>
      <c r="Q2176" s="711"/>
      <c r="S2176" s="670" t="s">
        <v>2943</v>
      </c>
      <c r="T2176" s="668" t="s">
        <v>1074</v>
      </c>
    </row>
    <row r="2177" spans="1:20">
      <c r="A2177" s="679">
        <v>2332310</v>
      </c>
      <c r="B2177" s="677"/>
      <c r="C2177" s="672"/>
      <c r="D2177" s="672"/>
      <c r="E2177" s="676" t="s">
        <v>1168</v>
      </c>
      <c r="F2177" s="680" t="s">
        <v>3076</v>
      </c>
      <c r="G2177" s="710">
        <v>233</v>
      </c>
      <c r="H2177" s="682">
        <v>2310</v>
      </c>
      <c r="J2177" s="668" t="str">
        <f t="shared" si="378"/>
        <v>(b) Louisiana School Emp. Retirement</v>
      </c>
      <c r="L2177" s="668">
        <v>92</v>
      </c>
      <c r="M2177" s="669">
        <v>87</v>
      </c>
      <c r="N2177" s="668"/>
      <c r="O2177" s="668">
        <v>15</v>
      </c>
      <c r="P2177" s="668" t="str">
        <f>IFERROR(VLOOKUP(F2177, [2]MOE!B:C, 2, FALSE), "No")</f>
        <v>No</v>
      </c>
      <c r="Q2177" s="711"/>
      <c r="S2177" s="670" t="s">
        <v>2943</v>
      </c>
      <c r="T2177" s="668" t="s">
        <v>1170</v>
      </c>
    </row>
    <row r="2178" spans="1:20">
      <c r="A2178" s="679">
        <v>2392310</v>
      </c>
      <c r="B2178" s="677"/>
      <c r="C2178" s="672"/>
      <c r="D2178" s="672"/>
      <c r="E2178" s="676" t="s">
        <v>1171</v>
      </c>
      <c r="F2178" s="680" t="s">
        <v>3077</v>
      </c>
      <c r="G2178" s="710">
        <v>239</v>
      </c>
      <c r="H2178" s="682">
        <v>2310</v>
      </c>
      <c r="J2178" s="668" t="str">
        <f t="shared" si="378"/>
        <v>(c) Other Retirement</v>
      </c>
      <c r="L2178" s="668">
        <v>92</v>
      </c>
      <c r="M2178" s="669">
        <v>87</v>
      </c>
      <c r="N2178" s="668"/>
      <c r="O2178" s="668">
        <v>15</v>
      </c>
      <c r="P2178" s="668" t="str">
        <f>IFERROR(VLOOKUP(F2178, [2]MOE!B:C, 2, FALSE), "No")</f>
        <v>No</v>
      </c>
      <c r="Q2178" s="711"/>
      <c r="S2178" s="670" t="s">
        <v>2943</v>
      </c>
      <c r="T2178" s="668" t="s">
        <v>1080</v>
      </c>
    </row>
    <row r="2179" spans="1:20">
      <c r="A2179" s="679">
        <v>2502310</v>
      </c>
      <c r="B2179" s="677"/>
      <c r="C2179" s="672"/>
      <c r="D2179" s="672"/>
      <c r="E2179" s="676" t="s">
        <v>1173</v>
      </c>
      <c r="F2179" s="680" t="s">
        <v>3078</v>
      </c>
      <c r="G2179" s="710">
        <v>250</v>
      </c>
      <c r="H2179" s="682">
        <v>2310</v>
      </c>
      <c r="J2179" s="668" t="str">
        <f t="shared" si="378"/>
        <v>(5) Unemployment Compensation</v>
      </c>
      <c r="L2179" s="668">
        <v>93</v>
      </c>
      <c r="M2179" s="669">
        <v>88</v>
      </c>
      <c r="N2179" s="668"/>
      <c r="O2179" s="668">
        <v>15</v>
      </c>
      <c r="P2179" s="668" t="str">
        <f>IFERROR(VLOOKUP(F2179, [2]MOE!B:C, 2, FALSE), "No")</f>
        <v>No</v>
      </c>
      <c r="Q2179" s="711"/>
      <c r="S2179" s="670" t="s">
        <v>2943</v>
      </c>
      <c r="T2179" s="668" t="s">
        <v>1081</v>
      </c>
    </row>
    <row r="2180" spans="1:20">
      <c r="A2180" s="679">
        <v>2602310</v>
      </c>
      <c r="B2180" s="677"/>
      <c r="C2180" s="672"/>
      <c r="D2180" s="672"/>
      <c r="E2180" s="676" t="s">
        <v>1175</v>
      </c>
      <c r="F2180" s="680" t="s">
        <v>3079</v>
      </c>
      <c r="G2180" s="710">
        <v>260</v>
      </c>
      <c r="H2180" s="682">
        <v>2310</v>
      </c>
      <c r="J2180" s="668" t="str">
        <f t="shared" si="378"/>
        <v>(6) Workmen's Compensation</v>
      </c>
      <c r="L2180" s="668">
        <v>95</v>
      </c>
      <c r="M2180" s="669">
        <v>90</v>
      </c>
      <c r="N2180" s="668"/>
      <c r="O2180" s="668">
        <v>15</v>
      </c>
      <c r="P2180" s="668" t="str">
        <f>IFERROR(VLOOKUP(F2180, [2]MOE!B:C, 2, FALSE), "No")</f>
        <v>No</v>
      </c>
      <c r="Q2180" s="711"/>
      <c r="S2180" s="670" t="s">
        <v>2943</v>
      </c>
      <c r="T2180" s="668" t="s">
        <v>1083</v>
      </c>
    </row>
    <row r="2181" spans="1:20">
      <c r="A2181" s="679">
        <v>2702310</v>
      </c>
      <c r="B2181" s="677"/>
      <c r="C2181" s="672"/>
      <c r="D2181" s="672"/>
      <c r="E2181" s="676" t="s">
        <v>1177</v>
      </c>
      <c r="F2181" s="680" t="s">
        <v>3080</v>
      </c>
      <c r="G2181" s="710">
        <v>270</v>
      </c>
      <c r="H2181" s="682">
        <v>2310</v>
      </c>
      <c r="J2181" s="668" t="str">
        <f t="shared" si="378"/>
        <v>(7) Health Benefits (retirees)</v>
      </c>
      <c r="L2181" s="668">
        <v>94</v>
      </c>
      <c r="M2181" s="669">
        <v>89</v>
      </c>
      <c r="N2181" s="668"/>
      <c r="O2181" s="668">
        <v>15</v>
      </c>
      <c r="P2181" s="668" t="str">
        <f>IFERROR(VLOOKUP(F2181, [2]MOE!B:C, 2, FALSE), "No")</f>
        <v>No</v>
      </c>
      <c r="Q2181" s="711"/>
      <c r="S2181" s="670" t="s">
        <v>2943</v>
      </c>
      <c r="T2181" s="668" t="s">
        <v>1085</v>
      </c>
    </row>
    <row r="2182" spans="1:20">
      <c r="A2182" s="679">
        <v>2812310</v>
      </c>
      <c r="B2182" s="677"/>
      <c r="C2182" s="672"/>
      <c r="D2182" s="672"/>
      <c r="E2182" s="676" t="s">
        <v>1179</v>
      </c>
      <c r="F2182" s="680" t="s">
        <v>3081</v>
      </c>
      <c r="G2182" s="710">
        <v>281</v>
      </c>
      <c r="H2182" s="682">
        <v>2310</v>
      </c>
      <c r="J2182" s="668" t="str">
        <f t="shared" si="378"/>
        <v>(8) Sick Leave Severance Pay</v>
      </c>
      <c r="L2182" s="668">
        <v>95</v>
      </c>
      <c r="M2182" s="669">
        <v>90</v>
      </c>
      <c r="N2182" s="668"/>
      <c r="O2182" s="668">
        <v>15</v>
      </c>
      <c r="P2182" s="668" t="str">
        <f>IFERROR(VLOOKUP(F2182, [2]MOE!B:C, 2, FALSE), "No")</f>
        <v>No</v>
      </c>
      <c r="Q2182" s="711"/>
      <c r="S2182" s="670" t="s">
        <v>2943</v>
      </c>
      <c r="T2182" s="668" t="s">
        <v>1087</v>
      </c>
    </row>
    <row r="2183" spans="1:20">
      <c r="A2183" s="679">
        <v>2822310</v>
      </c>
      <c r="B2183" s="677"/>
      <c r="C2183" s="672"/>
      <c r="D2183" s="672"/>
      <c r="E2183" s="676" t="s">
        <v>1181</v>
      </c>
      <c r="F2183" s="680" t="s">
        <v>3082</v>
      </c>
      <c r="G2183" s="710">
        <v>282</v>
      </c>
      <c r="H2183" s="682">
        <v>2310</v>
      </c>
      <c r="J2183" s="668" t="str">
        <f t="shared" si="378"/>
        <v>(9) Annual Leave Severance Pay</v>
      </c>
      <c r="L2183" s="668">
        <v>95</v>
      </c>
      <c r="M2183" s="669">
        <v>90</v>
      </c>
      <c r="N2183" s="668"/>
      <c r="O2183" s="668">
        <v>15</v>
      </c>
      <c r="P2183" s="668" t="str">
        <f>IFERROR(VLOOKUP(F2183, [2]MOE!B:C, 2, FALSE), "No")</f>
        <v>No</v>
      </c>
      <c r="Q2183" s="711"/>
      <c r="S2183" s="670" t="s">
        <v>2943</v>
      </c>
      <c r="T2183" s="668" t="s">
        <v>1089</v>
      </c>
    </row>
    <row r="2184" spans="1:20">
      <c r="A2184" s="679">
        <v>2902310</v>
      </c>
      <c r="B2184" s="677"/>
      <c r="C2184" s="672"/>
      <c r="D2184" s="672"/>
      <c r="E2184" s="676" t="s">
        <v>1183</v>
      </c>
      <c r="F2184" s="680" t="s">
        <v>3083</v>
      </c>
      <c r="G2184" s="710">
        <v>290</v>
      </c>
      <c r="H2184" s="682">
        <v>2310</v>
      </c>
      <c r="J2184" s="668" t="str">
        <f t="shared" si="378"/>
        <v>(10) Other Employee Benefits</v>
      </c>
      <c r="L2184" s="668">
        <v>95</v>
      </c>
      <c r="M2184" s="669">
        <v>90</v>
      </c>
      <c r="N2184" s="668"/>
      <c r="O2184" s="668">
        <v>15</v>
      </c>
      <c r="P2184" s="668" t="str">
        <f>IFERROR(VLOOKUP(F2184, [2]MOE!B:C, 2, FALSE), "No")</f>
        <v>No</v>
      </c>
      <c r="Q2184" s="711"/>
      <c r="S2184" s="670" t="s">
        <v>2943</v>
      </c>
      <c r="T2184" s="668" t="s">
        <v>1092</v>
      </c>
    </row>
    <row r="2185" spans="1:20">
      <c r="A2185" s="671"/>
      <c r="B2185" s="677"/>
      <c r="C2185" s="678">
        <v>61</v>
      </c>
      <c r="D2185" s="925" t="s">
        <v>3084</v>
      </c>
      <c r="E2185" s="926"/>
      <c r="F2185" s="675"/>
      <c r="G2185" s="672"/>
      <c r="H2185" s="676"/>
      <c r="Q2185" s="711"/>
      <c r="S2185" s="670"/>
    </row>
    <row r="2186" spans="1:20">
      <c r="A2186" s="671"/>
      <c r="B2186" s="677"/>
      <c r="C2186" s="672"/>
      <c r="D2186" s="672" t="s">
        <v>759</v>
      </c>
      <c r="E2186" s="676" t="s">
        <v>244</v>
      </c>
      <c r="F2186" s="675"/>
      <c r="G2186" s="672"/>
      <c r="H2186" s="676"/>
      <c r="Q2186" s="711"/>
      <c r="S2186" s="670"/>
    </row>
    <row r="2187" spans="1:20">
      <c r="A2187" s="679">
        <v>1112321</v>
      </c>
      <c r="B2187" s="677"/>
      <c r="C2187" s="672"/>
      <c r="D2187" s="672"/>
      <c r="E2187" s="676" t="s">
        <v>3085</v>
      </c>
      <c r="F2187" s="680" t="s">
        <v>3086</v>
      </c>
      <c r="G2187" s="710">
        <v>111</v>
      </c>
      <c r="H2187" s="682">
        <v>2321</v>
      </c>
      <c r="J2187" s="668" t="str">
        <f t="shared" ref="J2187:J2193" si="379">E2187</f>
        <v>(1) Superintendent</v>
      </c>
      <c r="L2187" s="668">
        <v>81</v>
      </c>
      <c r="M2187" s="669">
        <v>76</v>
      </c>
      <c r="N2187" s="668"/>
      <c r="O2187" s="668">
        <v>15</v>
      </c>
      <c r="P2187" s="668" t="str">
        <f>IFERROR(VLOOKUP(F2187, [2]MOE!B:C, 2, FALSE), "No")</f>
        <v>No</v>
      </c>
      <c r="Q2187" s="711"/>
      <c r="S2187" s="670" t="s">
        <v>3084</v>
      </c>
      <c r="T2187" s="668" t="s">
        <v>3087</v>
      </c>
    </row>
    <row r="2188" spans="1:20">
      <c r="A2188" s="679">
        <v>1142321</v>
      </c>
      <c r="B2188" s="677"/>
      <c r="C2188" s="672"/>
      <c r="D2188" s="672"/>
      <c r="E2188" s="676" t="s">
        <v>3088</v>
      </c>
      <c r="F2188" s="680" t="s">
        <v>3089</v>
      </c>
      <c r="G2188" s="710">
        <v>114</v>
      </c>
      <c r="H2188" s="682">
        <v>2321</v>
      </c>
      <c r="J2188" s="668" t="str">
        <f t="shared" si="379"/>
        <v>(2) Clerical/Sec. - Office of Super.</v>
      </c>
      <c r="L2188" s="668">
        <v>84</v>
      </c>
      <c r="M2188" s="669">
        <v>79</v>
      </c>
      <c r="N2188" s="668"/>
      <c r="O2188" s="668">
        <v>15</v>
      </c>
      <c r="P2188" s="668" t="str">
        <f>IFERROR(VLOOKUP(F2188, [2]MOE!B:C, 2, FALSE), "No")</f>
        <v>No</v>
      </c>
      <c r="Q2188" s="711"/>
      <c r="S2188" s="670" t="s">
        <v>3084</v>
      </c>
      <c r="T2188" s="668" t="s">
        <v>3090</v>
      </c>
    </row>
    <row r="2189" spans="1:20">
      <c r="A2189" s="679">
        <v>1112324</v>
      </c>
      <c r="B2189" s="677"/>
      <c r="C2189" s="672"/>
      <c r="D2189" s="672"/>
      <c r="E2189" s="676" t="s">
        <v>3091</v>
      </c>
      <c r="F2189" s="680" t="s">
        <v>3092</v>
      </c>
      <c r="G2189" s="710">
        <v>111</v>
      </c>
      <c r="H2189" s="682">
        <v>2324</v>
      </c>
      <c r="J2189" s="668" t="str">
        <f t="shared" si="379"/>
        <v>(3) Deputy/Assoc./Assist. Superintendents</v>
      </c>
      <c r="L2189" s="668">
        <v>81</v>
      </c>
      <c r="M2189" s="669">
        <v>76</v>
      </c>
      <c r="N2189" s="668"/>
      <c r="O2189" s="668">
        <v>15</v>
      </c>
      <c r="P2189" s="668" t="str">
        <f>IFERROR(VLOOKUP(F2189, [2]MOE!B:C, 2, FALSE), "No")</f>
        <v>No</v>
      </c>
      <c r="Q2189" s="711"/>
      <c r="S2189" s="670" t="s">
        <v>3084</v>
      </c>
      <c r="T2189" s="668" t="s">
        <v>3093</v>
      </c>
    </row>
    <row r="2190" spans="1:20">
      <c r="A2190" s="679">
        <v>1142324</v>
      </c>
      <c r="B2190" s="677"/>
      <c r="C2190" s="672"/>
      <c r="D2190" s="672"/>
      <c r="E2190" s="676" t="s">
        <v>3094</v>
      </c>
      <c r="F2190" s="680" t="s">
        <v>3095</v>
      </c>
      <c r="G2190" s="710">
        <v>114</v>
      </c>
      <c r="H2190" s="682">
        <v>2324</v>
      </c>
      <c r="J2190" s="668" t="str">
        <f t="shared" si="379"/>
        <v>(4) Clerical/Sec. - Dep/Assoc/Assist Sup</v>
      </c>
      <c r="L2190" s="668">
        <v>84</v>
      </c>
      <c r="M2190" s="669">
        <v>79</v>
      </c>
      <c r="N2190" s="668"/>
      <c r="O2190" s="668">
        <v>15</v>
      </c>
      <c r="P2190" s="668" t="str">
        <f>IFERROR(VLOOKUP(F2190, [2]MOE!B:C, 2, FALSE), "No")</f>
        <v>No</v>
      </c>
      <c r="Q2190" s="711"/>
      <c r="S2190" s="670" t="s">
        <v>3084</v>
      </c>
      <c r="T2190" s="668" t="s">
        <v>3096</v>
      </c>
    </row>
    <row r="2191" spans="1:20">
      <c r="A2191" s="679">
        <v>1002320</v>
      </c>
      <c r="B2191" s="677"/>
      <c r="C2191" s="672"/>
      <c r="D2191" s="672"/>
      <c r="E2191" s="676" t="s">
        <v>3097</v>
      </c>
      <c r="F2191" s="680" t="s">
        <v>3098</v>
      </c>
      <c r="G2191" s="710">
        <v>100</v>
      </c>
      <c r="H2191" s="682">
        <v>2320</v>
      </c>
      <c r="J2191" s="668" t="str">
        <f t="shared" si="379"/>
        <v>(5) Other Salaries - Exec. Admin. Svcs</v>
      </c>
      <c r="L2191" s="668">
        <v>86</v>
      </c>
      <c r="M2191" s="669">
        <v>81</v>
      </c>
      <c r="N2191" s="668"/>
      <c r="O2191" s="668">
        <v>15</v>
      </c>
      <c r="P2191" s="668" t="str">
        <f>IFERROR(VLOOKUP(F2191, [2]MOE!B:C, 2, FALSE), "No")</f>
        <v>No</v>
      </c>
      <c r="Q2191" s="711"/>
      <c r="S2191" s="670" t="s">
        <v>3084</v>
      </c>
      <c r="T2191" s="668" t="s">
        <v>3099</v>
      </c>
    </row>
    <row r="2192" spans="1:20">
      <c r="A2192" s="679">
        <v>1402320</v>
      </c>
      <c r="B2192" s="677"/>
      <c r="C2192" s="672"/>
      <c r="D2192" s="672"/>
      <c r="E2192" s="676" t="s">
        <v>1111</v>
      </c>
      <c r="F2192" s="680" t="s">
        <v>3100</v>
      </c>
      <c r="G2192" s="710">
        <v>140</v>
      </c>
      <c r="H2192" s="682">
        <v>2320</v>
      </c>
      <c r="J2192" s="668" t="str">
        <f t="shared" si="379"/>
        <v>(6) Sabbatical Leave</v>
      </c>
      <c r="L2192" s="668">
        <v>86</v>
      </c>
      <c r="M2192" s="669">
        <v>81</v>
      </c>
      <c r="N2192" s="668"/>
      <c r="O2192" s="668">
        <v>15</v>
      </c>
      <c r="P2192" s="668" t="str">
        <f>IFERROR(VLOOKUP(F2192, [2]MOE!B:C, 2, FALSE), "No")</f>
        <v>No</v>
      </c>
      <c r="Q2192" s="711"/>
      <c r="S2192" s="670" t="s">
        <v>3084</v>
      </c>
      <c r="T2192" s="668" t="s">
        <v>1019</v>
      </c>
    </row>
    <row r="2193" spans="1:20">
      <c r="A2193" s="679">
        <v>3002320</v>
      </c>
      <c r="B2193" s="677"/>
      <c r="C2193" s="672"/>
      <c r="D2193" s="672" t="s">
        <v>777</v>
      </c>
      <c r="E2193" s="676" t="s">
        <v>1113</v>
      </c>
      <c r="F2193" s="680" t="s">
        <v>3101</v>
      </c>
      <c r="G2193" s="710">
        <v>300</v>
      </c>
      <c r="H2193" s="682">
        <v>2320</v>
      </c>
      <c r="J2193" s="668" t="str">
        <f t="shared" si="379"/>
        <v>Purchased Professional and Technical Svcs</v>
      </c>
      <c r="L2193" s="668">
        <v>101</v>
      </c>
      <c r="M2193" s="669">
        <v>96</v>
      </c>
      <c r="N2193" s="668"/>
      <c r="O2193" s="668">
        <v>15</v>
      </c>
      <c r="P2193" s="668" t="str">
        <f>IFERROR(VLOOKUP(F2193, [2]MOE!B:C, 2, FALSE), "No")</f>
        <v>No</v>
      </c>
      <c r="Q2193" s="711"/>
      <c r="S2193" s="670" t="s">
        <v>3084</v>
      </c>
      <c r="T2193" s="668" t="s">
        <v>1113</v>
      </c>
    </row>
    <row r="2194" spans="1:20">
      <c r="A2194" s="671"/>
      <c r="B2194" s="677"/>
      <c r="C2194" s="672"/>
      <c r="D2194" s="672" t="s">
        <v>801</v>
      </c>
      <c r="E2194" s="676" t="s">
        <v>250</v>
      </c>
      <c r="F2194" s="675"/>
      <c r="G2194" s="672"/>
      <c r="H2194" s="676"/>
      <c r="Q2194" s="711"/>
      <c r="S2194" s="670"/>
    </row>
    <row r="2195" spans="1:20">
      <c r="A2195" s="679">
        <v>4302320</v>
      </c>
      <c r="B2195" s="677"/>
      <c r="C2195" s="672"/>
      <c r="D2195" s="672"/>
      <c r="E2195" s="676" t="s">
        <v>1115</v>
      </c>
      <c r="F2195" s="680" t="s">
        <v>3102</v>
      </c>
      <c r="G2195" s="710">
        <v>430</v>
      </c>
      <c r="H2195" s="682">
        <v>2320</v>
      </c>
      <c r="J2195" s="668" t="str">
        <f t="shared" ref="J2195:J2197" si="380">E2195</f>
        <v>(1) Repairs and Maintenance Services</v>
      </c>
      <c r="L2195" s="668">
        <v>107</v>
      </c>
      <c r="M2195" s="669">
        <v>102</v>
      </c>
      <c r="N2195" s="668"/>
      <c r="O2195" s="668">
        <v>15</v>
      </c>
      <c r="P2195" s="668" t="str">
        <f>IFERROR(VLOOKUP(F2195, [2]MOE!B:C, 2, FALSE), "No")</f>
        <v>No</v>
      </c>
      <c r="Q2195" s="711"/>
      <c r="S2195" s="670" t="s">
        <v>3084</v>
      </c>
      <c r="T2195" s="668" t="s">
        <v>1023</v>
      </c>
    </row>
    <row r="2196" spans="1:20">
      <c r="A2196" s="679">
        <v>4422320</v>
      </c>
      <c r="B2196" s="677"/>
      <c r="C2196" s="672"/>
      <c r="D2196" s="672"/>
      <c r="E2196" s="676" t="s">
        <v>1382</v>
      </c>
      <c r="F2196" s="680" t="s">
        <v>3103</v>
      </c>
      <c r="G2196" s="710">
        <v>442</v>
      </c>
      <c r="H2196" s="682">
        <v>2320</v>
      </c>
      <c r="J2196" s="668" t="str">
        <f t="shared" si="380"/>
        <v>(2) Rental of Equipment and Vehicles</v>
      </c>
      <c r="L2196" s="668">
        <v>106</v>
      </c>
      <c r="M2196" s="669">
        <v>101</v>
      </c>
      <c r="N2196" s="668"/>
      <c r="O2196" s="668">
        <v>15</v>
      </c>
      <c r="P2196" s="668" t="str">
        <f>IFERROR(VLOOKUP(F2196, [2]MOE!B:C, 2, FALSE), "No")</f>
        <v>No</v>
      </c>
      <c r="Q2196" s="711"/>
      <c r="S2196" s="670" t="s">
        <v>3084</v>
      </c>
      <c r="T2196" s="668" t="s">
        <v>1384</v>
      </c>
    </row>
    <row r="2197" spans="1:20">
      <c r="A2197" s="679">
        <v>4002320</v>
      </c>
      <c r="B2197" s="677"/>
      <c r="C2197" s="672"/>
      <c r="D2197" s="672"/>
      <c r="E2197" s="676" t="s">
        <v>1119</v>
      </c>
      <c r="F2197" s="680" t="s">
        <v>3104</v>
      </c>
      <c r="G2197" s="710">
        <v>400</v>
      </c>
      <c r="H2197" s="682">
        <v>2320</v>
      </c>
      <c r="J2197" s="668" t="str">
        <f t="shared" si="380"/>
        <v>(3) Other Purchased Property Services</v>
      </c>
      <c r="L2197" s="668">
        <v>108</v>
      </c>
      <c r="M2197" s="669">
        <v>103</v>
      </c>
      <c r="N2197" s="668"/>
      <c r="O2197" s="668">
        <v>15</v>
      </c>
      <c r="P2197" s="668" t="str">
        <f>IFERROR(VLOOKUP(F2197, [2]MOE!B:C, 2, FALSE), "No")</f>
        <v>No</v>
      </c>
      <c r="Q2197" s="711"/>
      <c r="S2197" s="670" t="s">
        <v>3084</v>
      </c>
      <c r="T2197" s="668" t="s">
        <v>1027</v>
      </c>
    </row>
    <row r="2198" spans="1:20">
      <c r="A2198" s="671"/>
      <c r="B2198" s="677"/>
      <c r="C2198" s="672"/>
      <c r="D2198" s="672" t="s">
        <v>805</v>
      </c>
      <c r="E2198" s="676" t="s">
        <v>252</v>
      </c>
      <c r="F2198" s="675"/>
      <c r="G2198" s="672"/>
      <c r="H2198" s="676"/>
      <c r="Q2198" s="711"/>
      <c r="S2198" s="670"/>
    </row>
    <row r="2199" spans="1:20">
      <c r="A2199" s="679">
        <v>5302320</v>
      </c>
      <c r="B2199" s="677"/>
      <c r="C2199" s="672"/>
      <c r="D2199" s="672"/>
      <c r="E2199" s="676" t="s">
        <v>3105</v>
      </c>
      <c r="F2199" s="680" t="s">
        <v>3106</v>
      </c>
      <c r="G2199" s="710">
        <v>530</v>
      </c>
      <c r="H2199" s="682">
        <v>2320</v>
      </c>
      <c r="J2199" s="668" t="str">
        <f>E2199</f>
        <v>(1) Communications (phone/internet/post)</v>
      </c>
      <c r="L2199" s="668">
        <v>119</v>
      </c>
      <c r="M2199" s="669">
        <v>110</v>
      </c>
      <c r="N2199" s="668"/>
      <c r="O2199" s="668">
        <v>15</v>
      </c>
      <c r="P2199" s="668" t="str">
        <f>IFERROR(VLOOKUP(F2199, [2]MOE!B:C, 2, FALSE), "No")</f>
        <v>No</v>
      </c>
      <c r="Q2199" s="711"/>
      <c r="S2199" s="670" t="s">
        <v>3084</v>
      </c>
      <c r="T2199" s="668" t="s">
        <v>3020</v>
      </c>
    </row>
    <row r="2200" spans="1:20">
      <c r="A2200" s="671"/>
      <c r="B2200" s="677"/>
      <c r="C2200" s="672"/>
      <c r="D2200" s="672"/>
      <c r="E2200" s="676" t="s">
        <v>3107</v>
      </c>
      <c r="F2200" s="675"/>
      <c r="G2200" s="672"/>
      <c r="H2200" s="676"/>
      <c r="Q2200" s="711"/>
      <c r="S2200" s="670"/>
    </row>
    <row r="2201" spans="1:20">
      <c r="A2201" s="679">
        <v>5812320</v>
      </c>
      <c r="B2201" s="677"/>
      <c r="C2201" s="672"/>
      <c r="D2201" s="672"/>
      <c r="E2201" s="676" t="s">
        <v>3108</v>
      </c>
      <c r="F2201" s="680" t="s">
        <v>3109</v>
      </c>
      <c r="G2201" s="710">
        <v>581</v>
      </c>
      <c r="H2201" s="682">
        <v>2320</v>
      </c>
      <c r="J2201" s="668" t="str">
        <f t="shared" ref="J2201:J2202" si="381">E2201</f>
        <v>(a) Mileage Allowance</v>
      </c>
      <c r="L2201" s="668">
        <v>118</v>
      </c>
      <c r="M2201" s="669">
        <v>109</v>
      </c>
      <c r="N2201" s="668"/>
      <c r="O2201" s="668">
        <v>15</v>
      </c>
      <c r="P2201" s="668" t="str">
        <f>IFERROR(VLOOKUP(F2201, [2]MOE!B:C, 2, FALSE), "No")</f>
        <v>No</v>
      </c>
      <c r="Q2201" s="711"/>
      <c r="S2201" s="670" t="s">
        <v>3084</v>
      </c>
      <c r="T2201" s="668" t="s">
        <v>3110</v>
      </c>
    </row>
    <row r="2202" spans="1:20">
      <c r="A2202" s="679">
        <v>5822320</v>
      </c>
      <c r="B2202" s="677"/>
      <c r="C2202" s="672"/>
      <c r="D2202" s="672"/>
      <c r="E2202" s="676" t="s">
        <v>3111</v>
      </c>
      <c r="F2202" s="680" t="s">
        <v>3112</v>
      </c>
      <c r="G2202" s="710">
        <v>582</v>
      </c>
      <c r="H2202" s="682">
        <v>2320</v>
      </c>
      <c r="J2202" s="668" t="str">
        <f t="shared" si="381"/>
        <v>(b) Travel Expense Reimbursement</v>
      </c>
      <c r="L2202" s="668">
        <v>118</v>
      </c>
      <c r="M2202" s="669">
        <v>109</v>
      </c>
      <c r="N2202" s="668"/>
      <c r="O2202" s="668">
        <v>15</v>
      </c>
      <c r="P2202" s="668" t="str">
        <f>IFERROR(VLOOKUP(F2202, [2]MOE!B:C, 2, FALSE), "No")</f>
        <v>No</v>
      </c>
      <c r="Q2202" s="711"/>
      <c r="S2202" s="670" t="s">
        <v>3084</v>
      </c>
      <c r="T2202" s="668" t="s">
        <v>1039</v>
      </c>
    </row>
    <row r="2203" spans="1:20">
      <c r="A2203" s="671"/>
      <c r="B2203" s="677"/>
      <c r="C2203" s="672"/>
      <c r="D2203" s="672"/>
      <c r="E2203" s="676" t="s">
        <v>3113</v>
      </c>
      <c r="F2203" s="675"/>
      <c r="G2203" s="672"/>
      <c r="H2203" s="676"/>
      <c r="Q2203" s="711"/>
      <c r="S2203" s="670"/>
    </row>
    <row r="2204" spans="1:20">
      <c r="A2204" s="679">
        <v>5962320</v>
      </c>
      <c r="B2204" s="677"/>
      <c r="C2204" s="672"/>
      <c r="D2204" s="672"/>
      <c r="E2204" s="676" t="s">
        <v>3114</v>
      </c>
      <c r="F2204" s="680" t="s">
        <v>3115</v>
      </c>
      <c r="G2204" s="710">
        <v>596</v>
      </c>
      <c r="H2204" s="682">
        <v>2320</v>
      </c>
      <c r="J2204" s="668" t="str">
        <f t="shared" ref="J2204:J2206" si="382">E2204</f>
        <v>(a) LEA W/I State (No Tuition/Trans)</v>
      </c>
      <c r="L2204" s="668">
        <v>119</v>
      </c>
      <c r="M2204" s="669">
        <v>110</v>
      </c>
      <c r="N2204" s="668"/>
      <c r="O2204" s="668">
        <v>15</v>
      </c>
      <c r="P2204" s="668" t="str">
        <f>IFERROR(VLOOKUP(F2204, [2]MOE!B:C, 2, FALSE), "No")</f>
        <v>No</v>
      </c>
      <c r="Q2204" s="711"/>
      <c r="S2204" s="670" t="s">
        <v>3084</v>
      </c>
      <c r="T2204" s="668" t="s">
        <v>3116</v>
      </c>
    </row>
    <row r="2205" spans="1:20">
      <c r="A2205" s="679">
        <v>5972320</v>
      </c>
      <c r="B2205" s="677"/>
      <c r="C2205" s="672"/>
      <c r="D2205" s="672"/>
      <c r="E2205" s="676" t="s">
        <v>3117</v>
      </c>
      <c r="F2205" s="680" t="s">
        <v>3118</v>
      </c>
      <c r="G2205" s="710">
        <v>597</v>
      </c>
      <c r="H2205" s="682">
        <v>2320</v>
      </c>
      <c r="J2205" s="668" t="str">
        <f t="shared" si="382"/>
        <v>(b) LEA O/S State (No Tuition/Trans)</v>
      </c>
      <c r="L2205" s="668">
        <v>119</v>
      </c>
      <c r="M2205" s="669">
        <v>110</v>
      </c>
      <c r="N2205" s="668"/>
      <c r="O2205" s="668">
        <v>15</v>
      </c>
      <c r="P2205" s="668" t="str">
        <f>IFERROR(VLOOKUP(F2205, [2]MOE!B:C, 2, FALSE), "No")</f>
        <v>No</v>
      </c>
      <c r="Q2205" s="711"/>
      <c r="S2205" s="670" t="s">
        <v>3084</v>
      </c>
      <c r="T2205" s="668" t="s">
        <v>3119</v>
      </c>
    </row>
    <row r="2206" spans="1:20">
      <c r="A2206" s="679">
        <v>5002320</v>
      </c>
      <c r="B2206" s="677"/>
      <c r="C2206" s="672"/>
      <c r="D2206" s="672"/>
      <c r="E2206" s="676" t="s">
        <v>1395</v>
      </c>
      <c r="F2206" s="680" t="s">
        <v>3120</v>
      </c>
      <c r="G2206" s="710">
        <v>500</v>
      </c>
      <c r="H2206" s="682">
        <v>2320</v>
      </c>
      <c r="J2206" s="668" t="str">
        <f t="shared" si="382"/>
        <v>(4) Other Purchased Services</v>
      </c>
      <c r="L2206" s="668">
        <v>119</v>
      </c>
      <c r="M2206" s="669">
        <v>110</v>
      </c>
      <c r="N2206" s="668"/>
      <c r="O2206" s="668">
        <v>15</v>
      </c>
      <c r="P2206" s="668" t="str">
        <f>IFERROR(VLOOKUP(F2206, [2]MOE!B:C, 2, FALSE), "No")</f>
        <v>No</v>
      </c>
      <c r="Q2206" s="711"/>
      <c r="S2206" s="670" t="s">
        <v>3084</v>
      </c>
      <c r="T2206" s="668" t="s">
        <v>252</v>
      </c>
    </row>
    <row r="2207" spans="1:20">
      <c r="A2207" s="671"/>
      <c r="B2207" s="677"/>
      <c r="C2207" s="672"/>
      <c r="D2207" s="672" t="s">
        <v>850</v>
      </c>
      <c r="E2207" s="676" t="s">
        <v>254</v>
      </c>
      <c r="F2207" s="675"/>
      <c r="G2207" s="672"/>
      <c r="H2207" s="676"/>
      <c r="Q2207" s="711"/>
      <c r="S2207" s="670"/>
    </row>
    <row r="2208" spans="1:20">
      <c r="A2208" s="679">
        <v>6152320</v>
      </c>
      <c r="B2208" s="677"/>
      <c r="C2208" s="672"/>
      <c r="D2208" s="672"/>
      <c r="E2208" s="676" t="s">
        <v>1139</v>
      </c>
      <c r="F2208" s="680" t="s">
        <v>3121</v>
      </c>
      <c r="G2208" s="710">
        <v>615</v>
      </c>
      <c r="H2208" s="682">
        <v>2320</v>
      </c>
      <c r="J2208" s="668" t="str">
        <f t="shared" ref="J2208:J2210" si="383">E2208</f>
        <v>(1) Technology-Related Supplies</v>
      </c>
      <c r="L2208" s="668">
        <v>126</v>
      </c>
      <c r="M2208" s="669">
        <v>117</v>
      </c>
      <c r="N2208" s="668"/>
      <c r="O2208" s="668">
        <v>15</v>
      </c>
      <c r="P2208" s="668" t="str">
        <f>IFERROR(VLOOKUP(F2208, [2]MOE!B:C, 2, FALSE), "No")</f>
        <v>No</v>
      </c>
      <c r="Q2208" s="711" t="s">
        <v>1045</v>
      </c>
      <c r="S2208" s="670" t="s">
        <v>3084</v>
      </c>
      <c r="T2208" s="668" t="s">
        <v>1043</v>
      </c>
    </row>
    <row r="2209" spans="1:20">
      <c r="A2209" s="679">
        <v>6102320</v>
      </c>
      <c r="B2209" s="677"/>
      <c r="C2209" s="672"/>
      <c r="D2209" s="672"/>
      <c r="E2209" s="676" t="s">
        <v>1141</v>
      </c>
      <c r="F2209" s="680" t="s">
        <v>3122</v>
      </c>
      <c r="G2209" s="710">
        <v>610</v>
      </c>
      <c r="H2209" s="682">
        <v>2320</v>
      </c>
      <c r="J2209" s="668" t="str">
        <f t="shared" si="383"/>
        <v>(2) Materials and Supplies</v>
      </c>
      <c r="L2209" s="668">
        <v>122</v>
      </c>
      <c r="M2209" s="669">
        <v>113</v>
      </c>
      <c r="N2209" s="668"/>
      <c r="O2209" s="668">
        <v>15</v>
      </c>
      <c r="P2209" s="668" t="str">
        <f>IFERROR(VLOOKUP(F2209, [2]MOE!B:C, 2, FALSE), "No")</f>
        <v>No</v>
      </c>
      <c r="Q2209" s="711" t="s">
        <v>1045</v>
      </c>
      <c r="S2209" s="670" t="s">
        <v>3084</v>
      </c>
      <c r="T2209" s="668" t="s">
        <v>39</v>
      </c>
    </row>
    <row r="2210" spans="1:20">
      <c r="A2210" s="679">
        <v>6002320</v>
      </c>
      <c r="B2210" s="677"/>
      <c r="C2210" s="672"/>
      <c r="D2210" s="672"/>
      <c r="E2210" s="676" t="s">
        <v>1870</v>
      </c>
      <c r="F2210" s="680" t="s">
        <v>3123</v>
      </c>
      <c r="G2210" s="710">
        <v>600</v>
      </c>
      <c r="H2210" s="682">
        <v>2320</v>
      </c>
      <c r="J2210" s="668" t="str">
        <f t="shared" si="383"/>
        <v>(3) Other Supplies</v>
      </c>
      <c r="L2210" s="668">
        <v>126</v>
      </c>
      <c r="M2210" s="669">
        <v>117</v>
      </c>
      <c r="N2210" s="668"/>
      <c r="O2210" s="668">
        <v>15</v>
      </c>
      <c r="P2210" s="668" t="str">
        <f>IFERROR(VLOOKUP(F2210, [2]MOE!B:C, 2, FALSE), "No")</f>
        <v>No</v>
      </c>
      <c r="Q2210" s="711"/>
      <c r="S2210" s="670" t="s">
        <v>3084</v>
      </c>
      <c r="T2210" s="668" t="s">
        <v>1050</v>
      </c>
    </row>
    <row r="2211" spans="1:20">
      <c r="A2211" s="671"/>
      <c r="B2211" s="677"/>
      <c r="C2211" s="672"/>
      <c r="D2211" s="672" t="s">
        <v>853</v>
      </c>
      <c r="E2211" s="676" t="s">
        <v>1052</v>
      </c>
      <c r="F2211" s="675"/>
      <c r="G2211" s="672"/>
      <c r="H2211" s="676"/>
      <c r="Q2211" s="711"/>
      <c r="S2211" s="670"/>
    </row>
    <row r="2212" spans="1:20">
      <c r="A2212" s="679">
        <v>7342320</v>
      </c>
      <c r="B2212" s="677"/>
      <c r="C2212" s="672"/>
      <c r="D2212" s="672"/>
      <c r="E2212" s="676" t="s">
        <v>1147</v>
      </c>
      <c r="F2212" s="680" t="s">
        <v>3124</v>
      </c>
      <c r="G2212" s="710">
        <v>734</v>
      </c>
      <c r="H2212" s="682">
        <v>2320</v>
      </c>
      <c r="J2212" s="668" t="str">
        <f t="shared" ref="J2212:J2215" si="384">E2212</f>
        <v>(1) Technology-Related Hardware</v>
      </c>
      <c r="L2212" s="668">
        <v>131</v>
      </c>
      <c r="M2212" s="669">
        <v>122</v>
      </c>
      <c r="N2212" s="668"/>
      <c r="O2212" s="668">
        <v>15</v>
      </c>
      <c r="P2212" s="668" t="str">
        <f>IFERROR(VLOOKUP(F2212, [2]MOE!B:C, 2, FALSE), "No")</f>
        <v>No</v>
      </c>
      <c r="Q2212" s="711"/>
      <c r="S2212" s="670" t="s">
        <v>3084</v>
      </c>
      <c r="T2212" s="668" t="s">
        <v>1053</v>
      </c>
    </row>
    <row r="2213" spans="1:20">
      <c r="A2213" s="679">
        <v>7352320</v>
      </c>
      <c r="B2213" s="677"/>
      <c r="C2213" s="672"/>
      <c r="D2213" s="672"/>
      <c r="E2213" s="676" t="s">
        <v>1149</v>
      </c>
      <c r="F2213" s="680" t="s">
        <v>3125</v>
      </c>
      <c r="G2213" s="710">
        <v>735</v>
      </c>
      <c r="H2213" s="682">
        <v>2320</v>
      </c>
      <c r="J2213" s="668" t="str">
        <f t="shared" si="384"/>
        <v>(2) Technology Software</v>
      </c>
      <c r="L2213" s="668">
        <v>131</v>
      </c>
      <c r="M2213" s="669">
        <v>122</v>
      </c>
      <c r="N2213" s="668"/>
      <c r="O2213" s="668">
        <v>15</v>
      </c>
      <c r="P2213" s="668" t="str">
        <f>IFERROR(VLOOKUP(F2213, [2]MOE!B:C, 2, FALSE), "No")</f>
        <v>No</v>
      </c>
      <c r="Q2213" s="711"/>
      <c r="S2213" s="670" t="s">
        <v>3084</v>
      </c>
      <c r="T2213" s="668" t="s">
        <v>1055</v>
      </c>
    </row>
    <row r="2214" spans="1:20">
      <c r="A2214" s="679">
        <v>7302320</v>
      </c>
      <c r="B2214" s="677"/>
      <c r="C2214" s="672"/>
      <c r="D2214" s="672"/>
      <c r="E2214" s="676" t="s">
        <v>3126</v>
      </c>
      <c r="F2214" s="680" t="s">
        <v>3127</v>
      </c>
      <c r="G2214" s="710">
        <v>730</v>
      </c>
      <c r="H2214" s="682">
        <v>2320</v>
      </c>
      <c r="J2214" s="668" t="str">
        <f t="shared" si="384"/>
        <v>(3) All Other Equipment (Including Veh)</v>
      </c>
      <c r="L2214" s="668">
        <v>131</v>
      </c>
      <c r="M2214" s="669">
        <v>122</v>
      </c>
      <c r="N2214" s="668"/>
      <c r="O2214" s="668">
        <v>15</v>
      </c>
      <c r="P2214" s="668" t="str">
        <f>IFERROR(VLOOKUP(F2214, [2]MOE!B:C, 2, FALSE), "No")</f>
        <v>No</v>
      </c>
      <c r="Q2214" s="711"/>
      <c r="S2214" s="670" t="s">
        <v>3084</v>
      </c>
      <c r="T2214" s="668" t="s">
        <v>1057</v>
      </c>
    </row>
    <row r="2215" spans="1:20">
      <c r="A2215" s="679">
        <v>7002320</v>
      </c>
      <c r="B2215" s="677"/>
      <c r="C2215" s="672"/>
      <c r="D2215" s="672"/>
      <c r="E2215" s="676" t="s">
        <v>1153</v>
      </c>
      <c r="F2215" s="680" t="s">
        <v>3128</v>
      </c>
      <c r="G2215" s="710">
        <v>700</v>
      </c>
      <c r="H2215" s="682">
        <v>2320</v>
      </c>
      <c r="J2215" s="668" t="str">
        <f t="shared" si="384"/>
        <v>(4) Other Property</v>
      </c>
      <c r="L2215" s="668">
        <v>132</v>
      </c>
      <c r="M2215" s="669">
        <v>123</v>
      </c>
      <c r="N2215" s="668"/>
      <c r="O2215" s="668">
        <v>15</v>
      </c>
      <c r="P2215" s="668" t="str">
        <f>IFERROR(VLOOKUP(F2215, [2]MOE!B:C, 2, FALSE), "No")</f>
        <v>No</v>
      </c>
      <c r="Q2215" s="711"/>
      <c r="S2215" s="670" t="s">
        <v>3084</v>
      </c>
      <c r="T2215" s="668" t="s">
        <v>1059</v>
      </c>
    </row>
    <row r="2216" spans="1:20">
      <c r="A2216" s="671"/>
      <c r="B2216" s="677"/>
      <c r="C2216" s="672"/>
      <c r="D2216" s="672" t="s">
        <v>856</v>
      </c>
      <c r="E2216" s="676" t="s">
        <v>256</v>
      </c>
      <c r="F2216" s="675"/>
      <c r="G2216" s="672"/>
      <c r="H2216" s="676"/>
      <c r="Q2216" s="711"/>
      <c r="S2216" s="670"/>
    </row>
    <row r="2217" spans="1:20">
      <c r="A2217" s="679">
        <v>8952320</v>
      </c>
      <c r="B2217" s="677"/>
      <c r="C2217" s="672"/>
      <c r="D2217" s="672"/>
      <c r="E2217" s="676" t="s">
        <v>1155</v>
      </c>
      <c r="F2217" s="680" t="s">
        <v>3129</v>
      </c>
      <c r="G2217" s="710">
        <v>895</v>
      </c>
      <c r="H2217" s="682">
        <v>2320</v>
      </c>
      <c r="J2217" s="668" t="str">
        <f t="shared" ref="J2217:J2218" si="385">E2217</f>
        <v>(1) Miscellaneous Non-Public Expenditures</v>
      </c>
      <c r="L2217" s="668">
        <v>139</v>
      </c>
      <c r="M2217" s="669">
        <v>129</v>
      </c>
      <c r="N2217" s="668"/>
      <c r="O2217" s="668">
        <v>15</v>
      </c>
      <c r="P2217" s="668" t="str">
        <f>IFERROR(VLOOKUP(F2217, [2]MOE!B:C, 2, FALSE), "No")</f>
        <v>No</v>
      </c>
      <c r="Q2217" s="711"/>
      <c r="S2217" s="670" t="s">
        <v>3084</v>
      </c>
      <c r="T2217" s="668" t="s">
        <v>1061</v>
      </c>
    </row>
    <row r="2218" spans="1:20">
      <c r="A2218" s="679">
        <v>8002320</v>
      </c>
      <c r="B2218" s="677"/>
      <c r="C2218" s="672"/>
      <c r="D2218" s="672"/>
      <c r="E2218" s="676" t="s">
        <v>1157</v>
      </c>
      <c r="F2218" s="680" t="s">
        <v>3130</v>
      </c>
      <c r="G2218" s="710">
        <v>800</v>
      </c>
      <c r="H2218" s="682">
        <v>2320</v>
      </c>
      <c r="J2218" s="668" t="str">
        <f t="shared" si="385"/>
        <v>(2) Other Miscellaneous Expenditures</v>
      </c>
      <c r="L2218" s="668">
        <v>139</v>
      </c>
      <c r="M2218" s="669">
        <v>129</v>
      </c>
      <c r="N2218" s="668"/>
      <c r="O2218" s="668">
        <v>15</v>
      </c>
      <c r="P2218" s="668" t="str">
        <f>IFERROR(VLOOKUP(F2218, [2]MOE!B:C, 2, FALSE), "No")</f>
        <v>No</v>
      </c>
      <c r="Q2218" s="711"/>
      <c r="S2218" s="670" t="s">
        <v>3084</v>
      </c>
      <c r="T2218" s="668" t="s">
        <v>1063</v>
      </c>
    </row>
    <row r="2219" spans="1:20">
      <c r="A2219" s="671"/>
      <c r="B2219" s="677"/>
      <c r="C2219" s="672"/>
      <c r="D2219" s="672" t="s">
        <v>859</v>
      </c>
      <c r="E2219" s="676" t="s">
        <v>1065</v>
      </c>
      <c r="F2219" s="675"/>
      <c r="G2219" s="672"/>
      <c r="H2219" s="676"/>
      <c r="Q2219" s="711"/>
      <c r="S2219" s="670"/>
    </row>
    <row r="2220" spans="1:20">
      <c r="A2220" s="679">
        <v>2102320</v>
      </c>
      <c r="B2220" s="677"/>
      <c r="C2220" s="672"/>
      <c r="D2220" s="672"/>
      <c r="E2220" s="676" t="s">
        <v>1159</v>
      </c>
      <c r="F2220" s="680" t="s">
        <v>3131</v>
      </c>
      <c r="G2220" s="710">
        <v>210</v>
      </c>
      <c r="H2220" s="682">
        <v>2320</v>
      </c>
      <c r="J2220" s="668" t="str">
        <f t="shared" ref="J2220:J2222" si="386">E2220</f>
        <v>(1) Group Insurance</v>
      </c>
      <c r="L2220" s="668">
        <v>89</v>
      </c>
      <c r="M2220" s="669">
        <v>84</v>
      </c>
      <c r="N2220" s="668"/>
      <c r="O2220" s="668">
        <v>15</v>
      </c>
      <c r="P2220" s="668" t="str">
        <f>IFERROR(VLOOKUP(F2220, [2]MOE!B:C, 2, FALSE), "No")</f>
        <v>No</v>
      </c>
      <c r="Q2220" s="711"/>
      <c r="S2220" s="670" t="s">
        <v>3084</v>
      </c>
      <c r="T2220" s="668" t="s">
        <v>1066</v>
      </c>
    </row>
    <row r="2221" spans="1:20">
      <c r="A2221" s="679">
        <v>2202320</v>
      </c>
      <c r="B2221" s="677"/>
      <c r="C2221" s="672"/>
      <c r="D2221" s="672"/>
      <c r="E2221" s="676" t="s">
        <v>1161</v>
      </c>
      <c r="F2221" s="680" t="s">
        <v>3132</v>
      </c>
      <c r="G2221" s="710">
        <v>220</v>
      </c>
      <c r="H2221" s="682">
        <v>2320</v>
      </c>
      <c r="J2221" s="668" t="str">
        <f t="shared" si="386"/>
        <v>(2) FICA</v>
      </c>
      <c r="L2221" s="668">
        <v>90</v>
      </c>
      <c r="M2221" s="669">
        <v>85</v>
      </c>
      <c r="N2221" s="668"/>
      <c r="O2221" s="668">
        <v>15</v>
      </c>
      <c r="P2221" s="668" t="str">
        <f>IFERROR(VLOOKUP(F2221, [2]MOE!B:C, 2, FALSE), "No")</f>
        <v>No</v>
      </c>
      <c r="Q2221" s="711"/>
      <c r="S2221" s="670" t="s">
        <v>3084</v>
      </c>
      <c r="T2221" s="668" t="s">
        <v>1068</v>
      </c>
    </row>
    <row r="2222" spans="1:20">
      <c r="A2222" s="679">
        <v>2252320</v>
      </c>
      <c r="B2222" s="677"/>
      <c r="C2222" s="672"/>
      <c r="D2222" s="672"/>
      <c r="E2222" s="676" t="s">
        <v>1163</v>
      </c>
      <c r="F2222" s="680" t="s">
        <v>3133</v>
      </c>
      <c r="G2222" s="710">
        <v>225</v>
      </c>
      <c r="H2222" s="682">
        <v>2320</v>
      </c>
      <c r="J2222" s="668" t="str">
        <f t="shared" si="386"/>
        <v>(3) Medicare</v>
      </c>
      <c r="L2222" s="668">
        <v>91</v>
      </c>
      <c r="M2222" s="669">
        <v>86</v>
      </c>
      <c r="N2222" s="668"/>
      <c r="O2222" s="668">
        <v>15</v>
      </c>
      <c r="P2222" s="668" t="str">
        <f>IFERROR(VLOOKUP(F2222, [2]MOE!B:C, 2, FALSE), "No")</f>
        <v>No</v>
      </c>
      <c r="Q2222" s="711"/>
      <c r="S2222" s="670" t="s">
        <v>3084</v>
      </c>
      <c r="T2222" s="668" t="s">
        <v>23</v>
      </c>
    </row>
    <row r="2223" spans="1:20">
      <c r="A2223" s="671"/>
      <c r="B2223" s="677"/>
      <c r="C2223" s="672"/>
      <c r="D2223" s="672"/>
      <c r="E2223" s="676" t="s">
        <v>1165</v>
      </c>
      <c r="F2223" s="675"/>
      <c r="G2223" s="672"/>
      <c r="H2223" s="676"/>
      <c r="Q2223" s="711"/>
      <c r="S2223" s="670"/>
    </row>
    <row r="2224" spans="1:20">
      <c r="A2224" s="679">
        <v>2312320</v>
      </c>
      <c r="B2224" s="677"/>
      <c r="C2224" s="672"/>
      <c r="D2224" s="672"/>
      <c r="E2224" s="676" t="s">
        <v>1166</v>
      </c>
      <c r="F2224" s="680" t="s">
        <v>3134</v>
      </c>
      <c r="G2224" s="710">
        <v>231</v>
      </c>
      <c r="H2224" s="682">
        <v>2320</v>
      </c>
      <c r="J2224" s="668" t="str">
        <f t="shared" ref="J2224:J2232" si="387">E2224</f>
        <v>(a) Louisiana Teachers Retirement</v>
      </c>
      <c r="L2224" s="668">
        <v>92</v>
      </c>
      <c r="M2224" s="669">
        <v>87</v>
      </c>
      <c r="N2224" s="668"/>
      <c r="O2224" s="668">
        <v>15</v>
      </c>
      <c r="P2224" s="668" t="str">
        <f>IFERROR(VLOOKUP(F2224, [2]MOE!B:C, 2, FALSE), "No")</f>
        <v>No</v>
      </c>
      <c r="Q2224" s="711"/>
      <c r="S2224" s="670" t="s">
        <v>3084</v>
      </c>
      <c r="T2224" s="668" t="s">
        <v>1074</v>
      </c>
    </row>
    <row r="2225" spans="1:20">
      <c r="A2225" s="679">
        <v>2332320</v>
      </c>
      <c r="B2225" s="677"/>
      <c r="C2225" s="672"/>
      <c r="D2225" s="672"/>
      <c r="E2225" s="676" t="s">
        <v>1168</v>
      </c>
      <c r="F2225" s="680" t="s">
        <v>3135</v>
      </c>
      <c r="G2225" s="710">
        <v>233</v>
      </c>
      <c r="H2225" s="682">
        <v>2320</v>
      </c>
      <c r="J2225" s="668" t="str">
        <f t="shared" si="387"/>
        <v>(b) Louisiana School Emp. Retirement</v>
      </c>
      <c r="L2225" s="668">
        <v>92</v>
      </c>
      <c r="M2225" s="669">
        <v>87</v>
      </c>
      <c r="N2225" s="668"/>
      <c r="O2225" s="668">
        <v>15</v>
      </c>
      <c r="P2225" s="668" t="str">
        <f>IFERROR(VLOOKUP(F2225, [2]MOE!B:C, 2, FALSE), "No")</f>
        <v>No</v>
      </c>
      <c r="Q2225" s="711"/>
      <c r="S2225" s="670" t="s">
        <v>3084</v>
      </c>
      <c r="T2225" s="668" t="s">
        <v>1170</v>
      </c>
    </row>
    <row r="2226" spans="1:20">
      <c r="A2226" s="679">
        <v>2392320</v>
      </c>
      <c r="B2226" s="677"/>
      <c r="C2226" s="672"/>
      <c r="D2226" s="672"/>
      <c r="E2226" s="676" t="s">
        <v>1171</v>
      </c>
      <c r="F2226" s="680" t="s">
        <v>3136</v>
      </c>
      <c r="G2226" s="710">
        <v>239</v>
      </c>
      <c r="H2226" s="682">
        <v>2320</v>
      </c>
      <c r="J2226" s="668" t="str">
        <f t="shared" si="387"/>
        <v>(c) Other Retirement</v>
      </c>
      <c r="L2226" s="668">
        <v>92</v>
      </c>
      <c r="M2226" s="669">
        <v>87</v>
      </c>
      <c r="N2226" s="668"/>
      <c r="O2226" s="668">
        <v>15</v>
      </c>
      <c r="P2226" s="668" t="str">
        <f>IFERROR(VLOOKUP(F2226, [2]MOE!B:C, 2, FALSE), "No")</f>
        <v>No</v>
      </c>
      <c r="Q2226" s="711"/>
      <c r="S2226" s="670" t="s">
        <v>3084</v>
      </c>
      <c r="T2226" s="668" t="s">
        <v>1080</v>
      </c>
    </row>
    <row r="2227" spans="1:20">
      <c r="A2227" s="679">
        <v>2502320</v>
      </c>
      <c r="B2227" s="677"/>
      <c r="C2227" s="672"/>
      <c r="D2227" s="672"/>
      <c r="E2227" s="676" t="s">
        <v>1173</v>
      </c>
      <c r="F2227" s="680" t="s">
        <v>3137</v>
      </c>
      <c r="G2227" s="710">
        <v>250</v>
      </c>
      <c r="H2227" s="682">
        <v>2320</v>
      </c>
      <c r="J2227" s="668" t="str">
        <f t="shared" si="387"/>
        <v>(5) Unemployment Compensation</v>
      </c>
      <c r="L2227" s="668">
        <v>93</v>
      </c>
      <c r="M2227" s="669">
        <v>88</v>
      </c>
      <c r="N2227" s="668"/>
      <c r="O2227" s="668">
        <v>15</v>
      </c>
      <c r="P2227" s="668" t="str">
        <f>IFERROR(VLOOKUP(F2227, [2]MOE!B:C, 2, FALSE), "No")</f>
        <v>No</v>
      </c>
      <c r="Q2227" s="711"/>
      <c r="S2227" s="670" t="s">
        <v>3084</v>
      </c>
      <c r="T2227" s="668" t="s">
        <v>1081</v>
      </c>
    </row>
    <row r="2228" spans="1:20">
      <c r="A2228" s="679">
        <v>2602320</v>
      </c>
      <c r="B2228" s="677"/>
      <c r="C2228" s="672"/>
      <c r="D2228" s="672"/>
      <c r="E2228" s="676" t="s">
        <v>1175</v>
      </c>
      <c r="F2228" s="680" t="s">
        <v>3138</v>
      </c>
      <c r="G2228" s="710">
        <v>260</v>
      </c>
      <c r="H2228" s="682">
        <v>2320</v>
      </c>
      <c r="J2228" s="668" t="str">
        <f t="shared" si="387"/>
        <v>(6) Workmen's Compensation</v>
      </c>
      <c r="L2228" s="668">
        <v>95</v>
      </c>
      <c r="M2228" s="669">
        <v>90</v>
      </c>
      <c r="N2228" s="668"/>
      <c r="O2228" s="668">
        <v>15</v>
      </c>
      <c r="P2228" s="668" t="str">
        <f>IFERROR(VLOOKUP(F2228, [2]MOE!B:C, 2, FALSE), "No")</f>
        <v>No</v>
      </c>
      <c r="Q2228" s="711"/>
      <c r="S2228" s="670" t="s">
        <v>3084</v>
      </c>
      <c r="T2228" s="668" t="s">
        <v>1083</v>
      </c>
    </row>
    <row r="2229" spans="1:20">
      <c r="A2229" s="679">
        <v>2702320</v>
      </c>
      <c r="B2229" s="677"/>
      <c r="C2229" s="672"/>
      <c r="D2229" s="672"/>
      <c r="E2229" s="676" t="s">
        <v>1177</v>
      </c>
      <c r="F2229" s="680" t="s">
        <v>3139</v>
      </c>
      <c r="G2229" s="710">
        <v>270</v>
      </c>
      <c r="H2229" s="682">
        <v>2320</v>
      </c>
      <c r="J2229" s="668" t="str">
        <f t="shared" si="387"/>
        <v>(7) Health Benefits (retirees)</v>
      </c>
      <c r="L2229" s="668">
        <v>94</v>
      </c>
      <c r="M2229" s="669">
        <v>89</v>
      </c>
      <c r="N2229" s="668"/>
      <c r="O2229" s="668">
        <v>15</v>
      </c>
      <c r="P2229" s="668" t="str">
        <f>IFERROR(VLOOKUP(F2229, [2]MOE!B:C, 2, FALSE), "No")</f>
        <v>No</v>
      </c>
      <c r="Q2229" s="711"/>
      <c r="S2229" s="670" t="s">
        <v>3084</v>
      </c>
      <c r="T2229" s="668" t="s">
        <v>1085</v>
      </c>
    </row>
    <row r="2230" spans="1:20">
      <c r="A2230" s="679">
        <v>2812320</v>
      </c>
      <c r="B2230" s="677"/>
      <c r="C2230" s="672"/>
      <c r="D2230" s="672"/>
      <c r="E2230" s="676" t="s">
        <v>1179</v>
      </c>
      <c r="F2230" s="680" t="s">
        <v>3140</v>
      </c>
      <c r="G2230" s="710">
        <v>281</v>
      </c>
      <c r="H2230" s="682">
        <v>2320</v>
      </c>
      <c r="J2230" s="668" t="str">
        <f t="shared" si="387"/>
        <v>(8) Sick Leave Severance Pay</v>
      </c>
      <c r="L2230" s="668">
        <v>95</v>
      </c>
      <c r="M2230" s="669">
        <v>90</v>
      </c>
      <c r="N2230" s="668"/>
      <c r="O2230" s="668">
        <v>15</v>
      </c>
      <c r="P2230" s="668" t="str">
        <f>IFERROR(VLOOKUP(F2230, [2]MOE!B:C, 2, FALSE), "No")</f>
        <v>No</v>
      </c>
      <c r="Q2230" s="711"/>
      <c r="S2230" s="670" t="s">
        <v>3084</v>
      </c>
      <c r="T2230" s="668" t="s">
        <v>1087</v>
      </c>
    </row>
    <row r="2231" spans="1:20">
      <c r="A2231" s="679">
        <v>2822320</v>
      </c>
      <c r="B2231" s="677"/>
      <c r="C2231" s="672"/>
      <c r="D2231" s="672"/>
      <c r="E2231" s="676" t="s">
        <v>1181</v>
      </c>
      <c r="F2231" s="680" t="s">
        <v>3141</v>
      </c>
      <c r="G2231" s="710">
        <v>282</v>
      </c>
      <c r="H2231" s="682">
        <v>2320</v>
      </c>
      <c r="J2231" s="668" t="str">
        <f t="shared" si="387"/>
        <v>(9) Annual Leave Severance Pay</v>
      </c>
      <c r="L2231" s="668">
        <v>95</v>
      </c>
      <c r="M2231" s="669">
        <v>90</v>
      </c>
      <c r="N2231" s="668"/>
      <c r="O2231" s="668">
        <v>15</v>
      </c>
      <c r="P2231" s="668" t="str">
        <f>IFERROR(VLOOKUP(F2231, [2]MOE!B:C, 2, FALSE), "No")</f>
        <v>No</v>
      </c>
      <c r="Q2231" s="711"/>
      <c r="S2231" s="670" t="s">
        <v>3084</v>
      </c>
      <c r="T2231" s="668" t="s">
        <v>1089</v>
      </c>
    </row>
    <row r="2232" spans="1:20" ht="16" thickBot="1">
      <c r="A2232" s="679">
        <v>2902320</v>
      </c>
      <c r="B2232" s="716"/>
      <c r="C2232" s="672"/>
      <c r="D2232" s="672"/>
      <c r="E2232" s="676" t="s">
        <v>1183</v>
      </c>
      <c r="F2232" s="680" t="s">
        <v>3142</v>
      </c>
      <c r="G2232" s="710">
        <v>290</v>
      </c>
      <c r="H2232" s="682">
        <v>2320</v>
      </c>
      <c r="J2232" s="668" t="str">
        <f t="shared" si="387"/>
        <v>(10) Other Employee Benefits</v>
      </c>
      <c r="L2232" s="668">
        <v>95</v>
      </c>
      <c r="M2232" s="669">
        <v>90</v>
      </c>
      <c r="N2232" s="668"/>
      <c r="O2232" s="668">
        <v>15</v>
      </c>
      <c r="P2232" s="668" t="str">
        <f>IFERROR(VLOOKUP(F2232, [2]MOE!B:C, 2, FALSE), "No")</f>
        <v>No</v>
      </c>
      <c r="Q2232" s="711"/>
      <c r="S2232" s="670" t="s">
        <v>3084</v>
      </c>
      <c r="T2232" s="668" t="s">
        <v>1092</v>
      </c>
    </row>
    <row r="2233" spans="1:20" ht="16.5" thickTop="1" thickBot="1">
      <c r="A2233" s="671"/>
      <c r="B2233" s="663"/>
      <c r="C2233" s="929" t="s">
        <v>3143</v>
      </c>
      <c r="D2233" s="930"/>
      <c r="E2233" s="932"/>
      <c r="F2233" s="705" t="s">
        <v>629</v>
      </c>
      <c r="G2233" s="706"/>
      <c r="H2233" s="707"/>
      <c r="Q2233" s="711"/>
      <c r="S2233" s="670"/>
    </row>
    <row r="2234" spans="1:20" ht="16" thickTop="1">
      <c r="A2234" s="671"/>
      <c r="B2234" s="672"/>
      <c r="C2234" s="672"/>
      <c r="D2234" s="672"/>
      <c r="E2234" s="676"/>
      <c r="F2234" s="675"/>
      <c r="G2234" s="672"/>
      <c r="H2234" s="676"/>
      <c r="Q2234" s="711"/>
      <c r="S2234" s="670"/>
    </row>
    <row r="2235" spans="1:20">
      <c r="A2235" s="671"/>
      <c r="B2235" s="677" t="s">
        <v>1288</v>
      </c>
      <c r="C2235" s="928" t="s">
        <v>700</v>
      </c>
      <c r="D2235" s="795"/>
      <c r="E2235" s="926"/>
      <c r="F2235" s="675"/>
      <c r="G2235" s="672"/>
      <c r="H2235" s="676"/>
      <c r="Q2235" s="711"/>
      <c r="S2235" s="670"/>
    </row>
    <row r="2236" spans="1:20">
      <c r="A2236" s="671"/>
      <c r="B2236" s="677"/>
      <c r="C2236" s="678">
        <v>62</v>
      </c>
      <c r="D2236" s="927" t="s">
        <v>244</v>
      </c>
      <c r="E2236" s="926"/>
      <c r="F2236" s="675"/>
      <c r="G2236" s="672"/>
      <c r="H2236" s="676"/>
      <c r="Q2236" s="711"/>
      <c r="S2236" s="670"/>
    </row>
    <row r="2237" spans="1:20">
      <c r="A2237" s="679">
        <v>1112410</v>
      </c>
      <c r="B2237" s="677"/>
      <c r="C2237" s="672"/>
      <c r="D2237" s="672" t="s">
        <v>759</v>
      </c>
      <c r="E2237" s="676" t="s">
        <v>3144</v>
      </c>
      <c r="F2237" s="680" t="s">
        <v>3145</v>
      </c>
      <c r="G2237" s="710">
        <v>111</v>
      </c>
      <c r="H2237" s="682">
        <v>2410</v>
      </c>
      <c r="J2237" s="668" t="str">
        <f t="shared" ref="J2237:J2245" si="388">E2237</f>
        <v>Principals</v>
      </c>
      <c r="L2237" s="668">
        <v>79</v>
      </c>
      <c r="M2237" s="669">
        <v>74</v>
      </c>
      <c r="N2237" s="668"/>
      <c r="O2237" s="668">
        <v>16</v>
      </c>
      <c r="P2237" s="668" t="str">
        <f>IFERROR(VLOOKUP(F2237, [2]MOE!B:C, 2, FALSE), "No")</f>
        <v>No</v>
      </c>
      <c r="Q2237" s="711" t="s">
        <v>1004</v>
      </c>
      <c r="S2237" s="670" t="s">
        <v>700</v>
      </c>
      <c r="T2237" s="668" t="s">
        <v>3144</v>
      </c>
    </row>
    <row r="2238" spans="1:20">
      <c r="A2238" s="679">
        <v>1112420</v>
      </c>
      <c r="B2238" s="677"/>
      <c r="C2238" s="672"/>
      <c r="D2238" s="672" t="s">
        <v>777</v>
      </c>
      <c r="E2238" s="676" t="s">
        <v>3146</v>
      </c>
      <c r="F2238" s="680" t="s">
        <v>3147</v>
      </c>
      <c r="G2238" s="710">
        <v>111</v>
      </c>
      <c r="H2238" s="682">
        <v>2420</v>
      </c>
      <c r="J2238" s="668" t="str">
        <f t="shared" si="388"/>
        <v>Assistant Principals</v>
      </c>
      <c r="L2238" s="668">
        <v>81</v>
      </c>
      <c r="M2238" s="669">
        <v>76</v>
      </c>
      <c r="N2238" s="668"/>
      <c r="O2238" s="668">
        <v>16</v>
      </c>
      <c r="P2238" s="668" t="str">
        <f>IFERROR(VLOOKUP(F2238, [2]MOE!B:C, 2, FALSE), "No")</f>
        <v>No</v>
      </c>
      <c r="Q2238" s="711" t="s">
        <v>1004</v>
      </c>
      <c r="S2238" s="670" t="s">
        <v>700</v>
      </c>
      <c r="T2238" s="668" t="s">
        <v>3146</v>
      </c>
    </row>
    <row r="2239" spans="1:20">
      <c r="A2239" s="679">
        <v>1112430</v>
      </c>
      <c r="B2239" s="677"/>
      <c r="C2239" s="672"/>
      <c r="D2239" s="672" t="s">
        <v>801</v>
      </c>
      <c r="E2239" s="676" t="s">
        <v>3148</v>
      </c>
      <c r="F2239" s="680" t="s">
        <v>3149</v>
      </c>
      <c r="G2239" s="710">
        <v>111</v>
      </c>
      <c r="H2239" s="682">
        <v>2430</v>
      </c>
      <c r="J2239" s="668" t="str">
        <f t="shared" si="388"/>
        <v>School Chief Exec Officer (Charter Sch)</v>
      </c>
      <c r="L2239" s="668">
        <v>79</v>
      </c>
      <c r="M2239" s="669">
        <v>74</v>
      </c>
      <c r="N2239" s="668"/>
      <c r="O2239" s="668">
        <v>16</v>
      </c>
      <c r="P2239" s="668" t="str">
        <f>IFERROR(VLOOKUP(F2239, [2]MOE!B:C, 2, FALSE), "No")</f>
        <v>No</v>
      </c>
      <c r="Q2239" s="711" t="s">
        <v>1004</v>
      </c>
      <c r="S2239" s="670" t="s">
        <v>700</v>
      </c>
      <c r="T2239" s="668" t="s">
        <v>3148</v>
      </c>
    </row>
    <row r="2240" spans="1:20">
      <c r="A2240" s="679">
        <v>1112400</v>
      </c>
      <c r="B2240" s="677"/>
      <c r="C2240" s="672"/>
      <c r="D2240" s="672" t="s">
        <v>805</v>
      </c>
      <c r="E2240" s="676" t="s">
        <v>3150</v>
      </c>
      <c r="F2240" s="680" t="s">
        <v>3151</v>
      </c>
      <c r="G2240" s="710">
        <v>111</v>
      </c>
      <c r="H2240" s="682">
        <v>2400</v>
      </c>
      <c r="J2240" s="668" t="str">
        <f t="shared" si="388"/>
        <v>Other School Administrators</v>
      </c>
      <c r="L2240" s="668">
        <v>81</v>
      </c>
      <c r="M2240" s="669">
        <v>76</v>
      </c>
      <c r="N2240" s="668"/>
      <c r="O2240" s="668">
        <v>16</v>
      </c>
      <c r="P2240" s="668" t="str">
        <f>IFERROR(VLOOKUP(F2240, [2]MOE!B:C, 2, FALSE), "No")</f>
        <v>No</v>
      </c>
      <c r="Q2240" s="711" t="s">
        <v>1004</v>
      </c>
      <c r="S2240" s="670" t="s">
        <v>700</v>
      </c>
      <c r="T2240" s="668" t="s">
        <v>3150</v>
      </c>
    </row>
    <row r="2241" spans="1:20">
      <c r="A2241" s="679">
        <v>1142400</v>
      </c>
      <c r="B2241" s="677"/>
      <c r="C2241" s="672"/>
      <c r="D2241" s="672" t="s">
        <v>850</v>
      </c>
      <c r="E2241" s="676" t="s">
        <v>1854</v>
      </c>
      <c r="F2241" s="680" t="s">
        <v>3152</v>
      </c>
      <c r="G2241" s="710">
        <v>114</v>
      </c>
      <c r="H2241" s="682">
        <v>2400</v>
      </c>
      <c r="J2241" s="668" t="str">
        <f t="shared" si="388"/>
        <v>Clerical/Secretarial</v>
      </c>
      <c r="L2241" s="668">
        <v>84</v>
      </c>
      <c r="M2241" s="669">
        <v>79</v>
      </c>
      <c r="N2241" s="668"/>
      <c r="O2241" s="668">
        <v>16</v>
      </c>
      <c r="P2241" s="668" t="str">
        <f>IFERROR(VLOOKUP(F2241, [2]MOE!B:C, 2, FALSE), "No")</f>
        <v>No</v>
      </c>
      <c r="Q2241" s="711" t="s">
        <v>1004</v>
      </c>
      <c r="S2241" s="670" t="s">
        <v>700</v>
      </c>
      <c r="T2241" s="668" t="s">
        <v>1854</v>
      </c>
    </row>
    <row r="2242" spans="1:20">
      <c r="A2242" s="679">
        <v>1102400</v>
      </c>
      <c r="B2242" s="677"/>
      <c r="C2242" s="672"/>
      <c r="D2242" s="672" t="s">
        <v>853</v>
      </c>
      <c r="E2242" s="676" t="s">
        <v>3153</v>
      </c>
      <c r="F2242" s="680" t="s">
        <v>3154</v>
      </c>
      <c r="G2242" s="710">
        <v>110</v>
      </c>
      <c r="H2242" s="682">
        <v>2400</v>
      </c>
      <c r="J2242" s="668" t="str">
        <f t="shared" si="388"/>
        <v>Other Regular Salaries</v>
      </c>
      <c r="L2242" s="668">
        <v>86</v>
      </c>
      <c r="M2242" s="669">
        <v>81</v>
      </c>
      <c r="N2242" s="668"/>
      <c r="O2242" s="668">
        <v>16</v>
      </c>
      <c r="P2242" s="668" t="str">
        <f>IFERROR(VLOOKUP(F2242, [2]MOE!B:C, 2, FALSE), "No")</f>
        <v>No</v>
      </c>
      <c r="Q2242" s="711" t="s">
        <v>1004</v>
      </c>
      <c r="S2242" s="670" t="s">
        <v>700</v>
      </c>
      <c r="T2242" s="668" t="s">
        <v>3153</v>
      </c>
    </row>
    <row r="2243" spans="1:20">
      <c r="A2243" s="679">
        <v>1202400</v>
      </c>
      <c r="B2243" s="677"/>
      <c r="C2243" s="672"/>
      <c r="D2243" s="672" t="s">
        <v>856</v>
      </c>
      <c r="E2243" s="676" t="s">
        <v>2178</v>
      </c>
      <c r="F2243" s="680" t="s">
        <v>3155</v>
      </c>
      <c r="G2243" s="710">
        <v>120</v>
      </c>
      <c r="H2243" s="682">
        <v>2400</v>
      </c>
      <c r="J2243" s="668" t="str">
        <f t="shared" si="388"/>
        <v>Substitute/Temporary Employees</v>
      </c>
      <c r="L2243" s="668">
        <v>86</v>
      </c>
      <c r="M2243" s="669">
        <v>81</v>
      </c>
      <c r="N2243" s="668"/>
      <c r="O2243" s="668">
        <v>16</v>
      </c>
      <c r="P2243" s="668" t="str">
        <f>IFERROR(VLOOKUP(F2243, [2]MOE!B:C, 2, FALSE), "No")</f>
        <v>No</v>
      </c>
      <c r="Q2243" s="711" t="s">
        <v>1004</v>
      </c>
      <c r="S2243" s="670" t="s">
        <v>700</v>
      </c>
      <c r="T2243" s="668" t="s">
        <v>2178</v>
      </c>
    </row>
    <row r="2244" spans="1:20">
      <c r="A2244" s="679">
        <v>1002400</v>
      </c>
      <c r="B2244" s="677"/>
      <c r="C2244" s="672"/>
      <c r="D2244" s="672" t="s">
        <v>859</v>
      </c>
      <c r="E2244" s="676" t="s">
        <v>3156</v>
      </c>
      <c r="F2244" s="680" t="s">
        <v>3157</v>
      </c>
      <c r="G2244" s="710">
        <v>100</v>
      </c>
      <c r="H2244" s="682">
        <v>2400</v>
      </c>
      <c r="J2244" s="668" t="str">
        <f t="shared" si="388"/>
        <v>Other Salaries - School Administration</v>
      </c>
      <c r="L2244" s="668">
        <v>86</v>
      </c>
      <c r="M2244" s="669">
        <v>81</v>
      </c>
      <c r="N2244" s="668"/>
      <c r="O2244" s="668">
        <v>16</v>
      </c>
      <c r="P2244" s="668" t="str">
        <f>IFERROR(VLOOKUP(F2244, [2]MOE!B:C, 2, FALSE), "No")</f>
        <v>No</v>
      </c>
      <c r="Q2244" s="711" t="s">
        <v>1004</v>
      </c>
      <c r="S2244" s="670" t="s">
        <v>700</v>
      </c>
      <c r="T2244" s="668" t="s">
        <v>3156</v>
      </c>
    </row>
    <row r="2245" spans="1:20">
      <c r="A2245" s="679">
        <v>1402400</v>
      </c>
      <c r="B2245" s="677"/>
      <c r="C2245" s="672"/>
      <c r="D2245" s="672" t="s">
        <v>862</v>
      </c>
      <c r="E2245" s="676" t="s">
        <v>1019</v>
      </c>
      <c r="F2245" s="680" t="s">
        <v>3158</v>
      </c>
      <c r="G2245" s="710">
        <v>140</v>
      </c>
      <c r="H2245" s="682">
        <v>2400</v>
      </c>
      <c r="J2245" s="668" t="str">
        <f t="shared" si="388"/>
        <v>Sabbatical Leave</v>
      </c>
      <c r="L2245" s="668">
        <v>86</v>
      </c>
      <c r="M2245" s="669">
        <v>81</v>
      </c>
      <c r="N2245" s="668"/>
      <c r="O2245" s="668">
        <v>16</v>
      </c>
      <c r="P2245" s="668" t="str">
        <f>IFERROR(VLOOKUP(F2245, [2]MOE!B:C, 2, FALSE), "No")</f>
        <v>No</v>
      </c>
      <c r="Q2245" s="711" t="s">
        <v>1004</v>
      </c>
      <c r="S2245" s="670" t="s">
        <v>700</v>
      </c>
      <c r="T2245" s="668" t="s">
        <v>1019</v>
      </c>
    </row>
    <row r="2246" spans="1:20">
      <c r="A2246" s="685">
        <v>3002400</v>
      </c>
      <c r="B2246" s="677"/>
      <c r="C2246" s="678">
        <v>63</v>
      </c>
      <c r="D2246" s="927" t="s">
        <v>1113</v>
      </c>
      <c r="E2246" s="926"/>
      <c r="F2246" s="680" t="s">
        <v>3159</v>
      </c>
      <c r="G2246" s="710">
        <v>300</v>
      </c>
      <c r="H2246" s="682">
        <v>2400</v>
      </c>
      <c r="J2246" s="668" t="str">
        <f>D2246</f>
        <v>Purchased Professional and Technical Svcs</v>
      </c>
      <c r="L2246" s="668">
        <v>101</v>
      </c>
      <c r="M2246" s="669">
        <v>96</v>
      </c>
      <c r="N2246" s="668"/>
      <c r="O2246" s="668">
        <v>16</v>
      </c>
      <c r="P2246" s="668" t="str">
        <f>IFERROR(VLOOKUP(F2246, [2]MOE!B:C, 2, FALSE), "No")</f>
        <v>No</v>
      </c>
      <c r="Q2246" s="711"/>
      <c r="S2246" s="670" t="s">
        <v>700</v>
      </c>
      <c r="T2246" s="668" t="s">
        <v>1113</v>
      </c>
    </row>
    <row r="2247" spans="1:20">
      <c r="A2247" s="671"/>
      <c r="B2247" s="677"/>
      <c r="C2247" s="678">
        <v>64</v>
      </c>
      <c r="D2247" s="927" t="s">
        <v>250</v>
      </c>
      <c r="E2247" s="926"/>
      <c r="F2247" s="675"/>
      <c r="G2247" s="672"/>
      <c r="H2247" s="676"/>
      <c r="Q2247" s="711"/>
      <c r="S2247" s="670"/>
    </row>
    <row r="2248" spans="1:20">
      <c r="A2248" s="679">
        <v>4302400</v>
      </c>
      <c r="B2248" s="677"/>
      <c r="C2248" s="672"/>
      <c r="D2248" s="672" t="s">
        <v>759</v>
      </c>
      <c r="E2248" s="676" t="s">
        <v>1023</v>
      </c>
      <c r="F2248" s="683" t="s">
        <v>3160</v>
      </c>
      <c r="G2248" s="678">
        <v>430</v>
      </c>
      <c r="H2248" s="682">
        <v>2400</v>
      </c>
      <c r="J2248" s="668" t="str">
        <f t="shared" ref="J2248:J2250" si="389">E2248</f>
        <v>Repairs and Maintenance Services</v>
      </c>
      <c r="L2248" s="668">
        <v>107</v>
      </c>
      <c r="M2248" s="669">
        <v>102</v>
      </c>
      <c r="N2248" s="668"/>
      <c r="O2248" s="668">
        <v>16</v>
      </c>
      <c r="P2248" s="668" t="str">
        <f>IFERROR(VLOOKUP(F2248, [2]MOE!B:C, 2, FALSE), "No")</f>
        <v>No</v>
      </c>
      <c r="Q2248" s="711"/>
      <c r="S2248" s="670" t="s">
        <v>700</v>
      </c>
      <c r="T2248" s="668" t="s">
        <v>1023</v>
      </c>
    </row>
    <row r="2249" spans="1:20">
      <c r="A2249" s="679">
        <v>4422400</v>
      </c>
      <c r="B2249" s="677"/>
      <c r="C2249" s="672"/>
      <c r="D2249" s="672" t="s">
        <v>777</v>
      </c>
      <c r="E2249" s="676" t="s">
        <v>1384</v>
      </c>
      <c r="F2249" s="713" t="s">
        <v>3161</v>
      </c>
      <c r="G2249" s="714">
        <v>442</v>
      </c>
      <c r="H2249" s="682">
        <v>2400</v>
      </c>
      <c r="J2249" s="668" t="str">
        <f t="shared" si="389"/>
        <v>Rental of Equipment and Vehicles</v>
      </c>
      <c r="L2249" s="668">
        <v>106</v>
      </c>
      <c r="M2249" s="669">
        <v>101</v>
      </c>
      <c r="N2249" s="668"/>
      <c r="O2249" s="668">
        <v>16</v>
      </c>
      <c r="P2249" s="668" t="str">
        <f>IFERROR(VLOOKUP(F2249, [2]MOE!B:C, 2, FALSE), "No")</f>
        <v>No</v>
      </c>
      <c r="Q2249" s="711"/>
      <c r="S2249" s="670" t="s">
        <v>700</v>
      </c>
      <c r="T2249" s="668" t="s">
        <v>1384</v>
      </c>
    </row>
    <row r="2250" spans="1:20">
      <c r="A2250" s="679">
        <v>4002400</v>
      </c>
      <c r="B2250" s="677"/>
      <c r="C2250" s="672"/>
      <c r="D2250" s="672" t="s">
        <v>801</v>
      </c>
      <c r="E2250" s="676" t="s">
        <v>1027</v>
      </c>
      <c r="F2250" s="680" t="s">
        <v>3162</v>
      </c>
      <c r="G2250" s="710">
        <v>400</v>
      </c>
      <c r="H2250" s="682">
        <v>2400</v>
      </c>
      <c r="J2250" s="668" t="str">
        <f t="shared" si="389"/>
        <v>Other Purchased Property Services</v>
      </c>
      <c r="L2250" s="668">
        <v>108</v>
      </c>
      <c r="M2250" s="669">
        <v>103</v>
      </c>
      <c r="N2250" s="668"/>
      <c r="O2250" s="668">
        <v>16</v>
      </c>
      <c r="P2250" s="668" t="str">
        <f>IFERROR(VLOOKUP(F2250, [2]MOE!B:C, 2, FALSE), "No")</f>
        <v>No</v>
      </c>
      <c r="Q2250" s="711"/>
      <c r="S2250" s="670" t="s">
        <v>700</v>
      </c>
      <c r="T2250" s="668" t="s">
        <v>1027</v>
      </c>
    </row>
    <row r="2251" spans="1:20">
      <c r="A2251" s="671"/>
      <c r="B2251" s="677"/>
      <c r="C2251" s="678">
        <v>65</v>
      </c>
      <c r="D2251" s="927" t="s">
        <v>252</v>
      </c>
      <c r="E2251" s="926"/>
      <c r="F2251" s="675"/>
      <c r="G2251" s="672"/>
      <c r="H2251" s="676"/>
      <c r="Q2251" s="711"/>
      <c r="S2251" s="670"/>
    </row>
    <row r="2252" spans="1:20">
      <c r="A2252" s="679">
        <v>5302400</v>
      </c>
      <c r="B2252" s="677"/>
      <c r="C2252" s="672"/>
      <c r="D2252" s="672" t="s">
        <v>759</v>
      </c>
      <c r="E2252" s="676" t="s">
        <v>3163</v>
      </c>
      <c r="F2252" s="680" t="s">
        <v>3164</v>
      </c>
      <c r="G2252" s="710">
        <v>530</v>
      </c>
      <c r="H2252" s="682">
        <v>2400</v>
      </c>
      <c r="J2252" s="668" t="str">
        <f t="shared" ref="J2252:J2254" si="390">E2252</f>
        <v>Communications (phone, internet, postage)</v>
      </c>
      <c r="L2252" s="668">
        <v>119</v>
      </c>
      <c r="M2252" s="669">
        <v>110</v>
      </c>
      <c r="N2252" s="668"/>
      <c r="O2252" s="668">
        <v>16</v>
      </c>
      <c r="P2252" s="668" t="str">
        <f>IFERROR(VLOOKUP(F2252, [2]MOE!B:C, 2, FALSE), "No")</f>
        <v>No</v>
      </c>
      <c r="Q2252" s="711"/>
      <c r="S2252" s="670" t="s">
        <v>700</v>
      </c>
      <c r="T2252" s="668" t="s">
        <v>3020</v>
      </c>
    </row>
    <row r="2253" spans="1:20">
      <c r="A2253" s="679">
        <v>5822400</v>
      </c>
      <c r="B2253" s="677"/>
      <c r="C2253" s="672"/>
      <c r="D2253" s="672" t="s">
        <v>777</v>
      </c>
      <c r="E2253" s="676" t="s">
        <v>1039</v>
      </c>
      <c r="F2253" s="680" t="s">
        <v>3165</v>
      </c>
      <c r="G2253" s="710">
        <v>582</v>
      </c>
      <c r="H2253" s="682">
        <v>2400</v>
      </c>
      <c r="J2253" s="668" t="str">
        <f t="shared" si="390"/>
        <v>Travel Expense Reimbursement</v>
      </c>
      <c r="L2253" s="668">
        <v>118</v>
      </c>
      <c r="M2253" s="669">
        <v>109</v>
      </c>
      <c r="N2253" s="668"/>
      <c r="O2253" s="668">
        <v>16</v>
      </c>
      <c r="P2253" s="668" t="str">
        <f>IFERROR(VLOOKUP(F2253, [2]MOE!B:C, 2, FALSE), "No")</f>
        <v>No</v>
      </c>
      <c r="Q2253" s="711"/>
      <c r="S2253" s="670" t="s">
        <v>700</v>
      </c>
      <c r="T2253" s="668" t="s">
        <v>1039</v>
      </c>
    </row>
    <row r="2254" spans="1:20">
      <c r="A2254" s="679">
        <v>5002400</v>
      </c>
      <c r="B2254" s="677"/>
      <c r="C2254" s="672"/>
      <c r="D2254" s="672" t="s">
        <v>801</v>
      </c>
      <c r="E2254" s="676" t="s">
        <v>252</v>
      </c>
      <c r="F2254" s="680" t="s">
        <v>3166</v>
      </c>
      <c r="G2254" s="710">
        <v>500</v>
      </c>
      <c r="H2254" s="682">
        <v>2400</v>
      </c>
      <c r="J2254" s="668" t="str">
        <f t="shared" si="390"/>
        <v>Other Purchased Services</v>
      </c>
      <c r="L2254" s="668">
        <v>119</v>
      </c>
      <c r="M2254" s="669">
        <v>110</v>
      </c>
      <c r="N2254" s="668"/>
      <c r="O2254" s="668">
        <v>16</v>
      </c>
      <c r="P2254" s="668" t="str">
        <f>IFERROR(VLOOKUP(F2254, [2]MOE!B:C, 2, FALSE), "No")</f>
        <v>No</v>
      </c>
      <c r="Q2254" s="711"/>
      <c r="S2254" s="670" t="s">
        <v>700</v>
      </c>
      <c r="T2254" s="668" t="s">
        <v>252</v>
      </c>
    </row>
    <row r="2255" spans="1:20">
      <c r="A2255" s="671"/>
      <c r="B2255" s="677"/>
      <c r="C2255" s="678">
        <v>66</v>
      </c>
      <c r="D2255" s="927" t="s">
        <v>254</v>
      </c>
      <c r="E2255" s="926"/>
      <c r="F2255" s="675"/>
      <c r="G2255" s="672"/>
      <c r="H2255" s="676"/>
      <c r="Q2255" s="711"/>
      <c r="S2255" s="670"/>
    </row>
    <row r="2256" spans="1:20">
      <c r="A2256" s="679">
        <v>6152400</v>
      </c>
      <c r="B2256" s="677"/>
      <c r="C2256" s="672"/>
      <c r="D2256" s="672" t="s">
        <v>759</v>
      </c>
      <c r="E2256" s="676" t="s">
        <v>1043</v>
      </c>
      <c r="F2256" s="680" t="s">
        <v>3167</v>
      </c>
      <c r="G2256" s="710">
        <v>615</v>
      </c>
      <c r="H2256" s="682">
        <v>2400</v>
      </c>
      <c r="J2256" s="668" t="str">
        <f t="shared" ref="J2256:J2258" si="391">E2256</f>
        <v>Technology-Related Supplies</v>
      </c>
      <c r="L2256" s="668">
        <v>126</v>
      </c>
      <c r="M2256" s="669">
        <v>117</v>
      </c>
      <c r="N2256" s="668"/>
      <c r="O2256" s="668">
        <v>16</v>
      </c>
      <c r="P2256" s="668" t="str">
        <f>IFERROR(VLOOKUP(F2256, [2]MOE!B:C, 2, FALSE), "No")</f>
        <v>No</v>
      </c>
      <c r="Q2256" s="711" t="s">
        <v>1045</v>
      </c>
      <c r="S2256" s="670" t="s">
        <v>700</v>
      </c>
      <c r="T2256" s="668" t="s">
        <v>1043</v>
      </c>
    </row>
    <row r="2257" spans="1:20">
      <c r="A2257" s="679">
        <v>6102400</v>
      </c>
      <c r="B2257" s="677"/>
      <c r="C2257" s="672"/>
      <c r="D2257" s="672" t="s">
        <v>777</v>
      </c>
      <c r="E2257" s="676" t="s">
        <v>39</v>
      </c>
      <c r="F2257" s="680" t="s">
        <v>3168</v>
      </c>
      <c r="G2257" s="710">
        <v>610</v>
      </c>
      <c r="H2257" s="682">
        <v>2400</v>
      </c>
      <c r="J2257" s="668" t="str">
        <f t="shared" si="391"/>
        <v>Materials and Supplies</v>
      </c>
      <c r="L2257" s="668">
        <v>122</v>
      </c>
      <c r="M2257" s="669">
        <v>113</v>
      </c>
      <c r="N2257" s="668"/>
      <c r="O2257" s="668">
        <v>16</v>
      </c>
      <c r="P2257" s="668" t="str">
        <f>IFERROR(VLOOKUP(F2257, [2]MOE!B:C, 2, FALSE), "No")</f>
        <v>No</v>
      </c>
      <c r="Q2257" s="711" t="s">
        <v>1045</v>
      </c>
      <c r="S2257" s="670" t="s">
        <v>700</v>
      </c>
      <c r="T2257" s="668" t="s">
        <v>39</v>
      </c>
    </row>
    <row r="2258" spans="1:20">
      <c r="A2258" s="679">
        <v>6002400</v>
      </c>
      <c r="B2258" s="677"/>
      <c r="C2258" s="672"/>
      <c r="D2258" s="672" t="s">
        <v>801</v>
      </c>
      <c r="E2258" s="676" t="s">
        <v>1050</v>
      </c>
      <c r="F2258" s="680" t="s">
        <v>3169</v>
      </c>
      <c r="G2258" s="710">
        <v>600</v>
      </c>
      <c r="H2258" s="682">
        <v>2400</v>
      </c>
      <c r="J2258" s="668" t="str">
        <f t="shared" si="391"/>
        <v>Other Supplies</v>
      </c>
      <c r="L2258" s="668">
        <v>126</v>
      </c>
      <c r="M2258" s="669">
        <v>117</v>
      </c>
      <c r="N2258" s="668"/>
      <c r="O2258" s="668">
        <v>16</v>
      </c>
      <c r="P2258" s="668" t="str">
        <f>IFERROR(VLOOKUP(F2258, [2]MOE!B:C, 2, FALSE), "No")</f>
        <v>No</v>
      </c>
      <c r="Q2258" s="711"/>
      <c r="S2258" s="670" t="s">
        <v>700</v>
      </c>
      <c r="T2258" s="668" t="s">
        <v>1050</v>
      </c>
    </row>
    <row r="2259" spans="1:20">
      <c r="A2259" s="671"/>
      <c r="B2259" s="677"/>
      <c r="C2259" s="678">
        <v>67</v>
      </c>
      <c r="D2259" s="927" t="s">
        <v>1052</v>
      </c>
      <c r="E2259" s="926"/>
      <c r="F2259" s="675"/>
      <c r="G2259" s="672"/>
      <c r="H2259" s="676"/>
      <c r="Q2259" s="711"/>
      <c r="S2259" s="670"/>
    </row>
    <row r="2260" spans="1:20">
      <c r="A2260" s="679">
        <v>7342400</v>
      </c>
      <c r="B2260" s="677"/>
      <c r="C2260" s="672"/>
      <c r="D2260" s="672" t="s">
        <v>759</v>
      </c>
      <c r="E2260" s="676" t="s">
        <v>1053</v>
      </c>
      <c r="F2260" s="680" t="s">
        <v>3170</v>
      </c>
      <c r="G2260" s="710">
        <v>734</v>
      </c>
      <c r="H2260" s="682">
        <v>2400</v>
      </c>
      <c r="J2260" s="668" t="str">
        <f t="shared" ref="J2260:J2263" si="392">E2260</f>
        <v>Technology-Related Hardware</v>
      </c>
      <c r="L2260" s="668">
        <v>131</v>
      </c>
      <c r="M2260" s="669">
        <v>122</v>
      </c>
      <c r="N2260" s="668"/>
      <c r="O2260" s="668">
        <v>16</v>
      </c>
      <c r="P2260" s="668" t="str">
        <f>IFERROR(VLOOKUP(F2260, [2]MOE!B:C, 2, FALSE), "No")</f>
        <v>No</v>
      </c>
      <c r="Q2260" s="711"/>
      <c r="S2260" s="670" t="s">
        <v>700</v>
      </c>
      <c r="T2260" s="668" t="s">
        <v>1053</v>
      </c>
    </row>
    <row r="2261" spans="1:20">
      <c r="A2261" s="679">
        <v>7352400</v>
      </c>
      <c r="B2261" s="677"/>
      <c r="C2261" s="672"/>
      <c r="D2261" s="672" t="s">
        <v>777</v>
      </c>
      <c r="E2261" s="676" t="s">
        <v>1055</v>
      </c>
      <c r="F2261" s="680" t="s">
        <v>3171</v>
      </c>
      <c r="G2261" s="710">
        <v>735</v>
      </c>
      <c r="H2261" s="682">
        <v>2400</v>
      </c>
      <c r="J2261" s="668" t="str">
        <f t="shared" si="392"/>
        <v>Technology Software</v>
      </c>
      <c r="L2261" s="668">
        <v>131</v>
      </c>
      <c r="M2261" s="669">
        <v>122</v>
      </c>
      <c r="N2261" s="668"/>
      <c r="O2261" s="668">
        <v>16</v>
      </c>
      <c r="P2261" s="668" t="str">
        <f>IFERROR(VLOOKUP(F2261, [2]MOE!B:C, 2, FALSE), "No")</f>
        <v>No</v>
      </c>
      <c r="Q2261" s="711"/>
      <c r="S2261" s="670" t="s">
        <v>700</v>
      </c>
      <c r="T2261" s="668" t="s">
        <v>1055</v>
      </c>
    </row>
    <row r="2262" spans="1:20">
      <c r="A2262" s="679">
        <v>7302400</v>
      </c>
      <c r="B2262" s="677"/>
      <c r="C2262" s="672"/>
      <c r="D2262" s="672" t="s">
        <v>801</v>
      </c>
      <c r="E2262" s="676" t="s">
        <v>3172</v>
      </c>
      <c r="F2262" s="680" t="s">
        <v>3173</v>
      </c>
      <c r="G2262" s="710">
        <v>730</v>
      </c>
      <c r="H2262" s="682">
        <v>2400</v>
      </c>
      <c r="J2262" s="668" t="str">
        <f t="shared" si="392"/>
        <v>All Other Equipment (Including Veh)</v>
      </c>
      <c r="L2262" s="668">
        <v>131</v>
      </c>
      <c r="M2262" s="669">
        <v>122</v>
      </c>
      <c r="N2262" s="668"/>
      <c r="O2262" s="668">
        <v>16</v>
      </c>
      <c r="P2262" s="668" t="str">
        <f>IFERROR(VLOOKUP(F2262, [2]MOE!B:C, 2, FALSE), "No")</f>
        <v>No</v>
      </c>
      <c r="Q2262" s="711"/>
      <c r="S2262" s="670" t="s">
        <v>700</v>
      </c>
      <c r="T2262" s="668" t="s">
        <v>1057</v>
      </c>
    </row>
    <row r="2263" spans="1:20">
      <c r="A2263" s="679">
        <v>7002400</v>
      </c>
      <c r="B2263" s="677"/>
      <c r="C2263" s="672"/>
      <c r="D2263" s="672" t="s">
        <v>805</v>
      </c>
      <c r="E2263" s="676" t="s">
        <v>1059</v>
      </c>
      <c r="F2263" s="680" t="s">
        <v>3174</v>
      </c>
      <c r="G2263" s="710">
        <v>700</v>
      </c>
      <c r="H2263" s="682">
        <v>2400</v>
      </c>
      <c r="J2263" s="668" t="str">
        <f t="shared" si="392"/>
        <v>Other Property</v>
      </c>
      <c r="L2263" s="668">
        <v>132</v>
      </c>
      <c r="M2263" s="669">
        <v>123</v>
      </c>
      <c r="N2263" s="668"/>
      <c r="O2263" s="668">
        <v>16</v>
      </c>
      <c r="P2263" s="668" t="str">
        <f>IFERROR(VLOOKUP(F2263, [2]MOE!B:C, 2, FALSE), "No")</f>
        <v>No</v>
      </c>
      <c r="Q2263" s="711"/>
      <c r="S2263" s="670" t="s">
        <v>700</v>
      </c>
      <c r="T2263" s="668" t="s">
        <v>1059</v>
      </c>
    </row>
    <row r="2264" spans="1:20">
      <c r="A2264" s="671"/>
      <c r="B2264" s="677"/>
      <c r="C2264" s="678">
        <v>68</v>
      </c>
      <c r="D2264" s="927" t="s">
        <v>256</v>
      </c>
      <c r="E2264" s="926"/>
      <c r="F2264" s="675"/>
      <c r="G2264" s="672"/>
      <c r="H2264" s="676"/>
      <c r="Q2264" s="711"/>
      <c r="S2264" s="670"/>
    </row>
    <row r="2265" spans="1:20">
      <c r="A2265" s="679">
        <v>8102400</v>
      </c>
      <c r="B2265" s="677"/>
      <c r="C2265" s="672"/>
      <c r="D2265" s="672" t="s">
        <v>759</v>
      </c>
      <c r="E2265" s="676" t="s">
        <v>3175</v>
      </c>
      <c r="F2265" s="680" t="s">
        <v>3176</v>
      </c>
      <c r="G2265" s="710">
        <v>810</v>
      </c>
      <c r="H2265" s="682">
        <v>2400</v>
      </c>
      <c r="J2265" s="668" t="str">
        <f t="shared" ref="J2265:J2267" si="393">E2265</f>
        <v>Dues and Fees (Southern Association, etc)</v>
      </c>
      <c r="L2265" s="668">
        <v>135</v>
      </c>
      <c r="M2265" s="669">
        <v>126</v>
      </c>
      <c r="N2265" s="668"/>
      <c r="O2265" s="668">
        <v>16</v>
      </c>
      <c r="P2265" s="668" t="str">
        <f>IFERROR(VLOOKUP(F2265, [2]MOE!B:C, 2, FALSE), "No")</f>
        <v>No</v>
      </c>
      <c r="Q2265" s="711"/>
      <c r="S2265" s="670" t="s">
        <v>700</v>
      </c>
      <c r="T2265" s="668" t="s">
        <v>145</v>
      </c>
    </row>
    <row r="2266" spans="1:20">
      <c r="A2266" s="679">
        <v>8952400</v>
      </c>
      <c r="B2266" s="677"/>
      <c r="C2266" s="672"/>
      <c r="D2266" s="672" t="s">
        <v>777</v>
      </c>
      <c r="E2266" s="676" t="s">
        <v>1061</v>
      </c>
      <c r="F2266" s="680" t="s">
        <v>3177</v>
      </c>
      <c r="G2266" s="710">
        <v>895</v>
      </c>
      <c r="H2266" s="682">
        <v>2400</v>
      </c>
      <c r="J2266" s="668" t="str">
        <f t="shared" si="393"/>
        <v>Miscellaneous Non-Public Expenditures</v>
      </c>
      <c r="L2266" s="668">
        <v>139</v>
      </c>
      <c r="M2266" s="669">
        <v>129</v>
      </c>
      <c r="N2266" s="668"/>
      <c r="O2266" s="668">
        <v>16</v>
      </c>
      <c r="P2266" s="668" t="str">
        <f>IFERROR(VLOOKUP(F2266, [2]MOE!B:C, 2, FALSE), "No")</f>
        <v>No</v>
      </c>
      <c r="Q2266" s="711"/>
      <c r="S2266" s="670" t="s">
        <v>700</v>
      </c>
      <c r="T2266" s="668" t="s">
        <v>1061</v>
      </c>
    </row>
    <row r="2267" spans="1:20">
      <c r="A2267" s="679">
        <v>8002400</v>
      </c>
      <c r="B2267" s="677"/>
      <c r="C2267" s="672"/>
      <c r="D2267" s="672" t="s">
        <v>801</v>
      </c>
      <c r="E2267" s="676" t="s">
        <v>1063</v>
      </c>
      <c r="F2267" s="680" t="s">
        <v>3178</v>
      </c>
      <c r="G2267" s="710">
        <v>800</v>
      </c>
      <c r="H2267" s="682">
        <v>2400</v>
      </c>
      <c r="J2267" s="668" t="str">
        <f t="shared" si="393"/>
        <v>Other Miscellaneous Expenditures</v>
      </c>
      <c r="L2267" s="668">
        <v>139</v>
      </c>
      <c r="M2267" s="669">
        <v>129</v>
      </c>
      <c r="N2267" s="668"/>
      <c r="O2267" s="668">
        <v>16</v>
      </c>
      <c r="P2267" s="668" t="str">
        <f>IFERROR(VLOOKUP(F2267, [2]MOE!B:C, 2, FALSE), "No")</f>
        <v>No</v>
      </c>
      <c r="Q2267" s="711"/>
      <c r="S2267" s="670" t="s">
        <v>700</v>
      </c>
      <c r="T2267" s="668" t="s">
        <v>1063</v>
      </c>
    </row>
    <row r="2268" spans="1:20">
      <c r="A2268" s="671"/>
      <c r="B2268" s="677"/>
      <c r="C2268" s="678">
        <v>69</v>
      </c>
      <c r="D2268" s="927" t="s">
        <v>1065</v>
      </c>
      <c r="E2268" s="926"/>
      <c r="F2268" s="675"/>
      <c r="G2268" s="672"/>
      <c r="H2268" s="676"/>
      <c r="Q2268" s="711"/>
      <c r="S2268" s="670"/>
    </row>
    <row r="2269" spans="1:20">
      <c r="A2269" s="679">
        <v>2102400</v>
      </c>
      <c r="B2269" s="677"/>
      <c r="C2269" s="672"/>
      <c r="D2269" s="672" t="s">
        <v>759</v>
      </c>
      <c r="E2269" s="676" t="s">
        <v>1066</v>
      </c>
      <c r="F2269" s="680" t="s">
        <v>3179</v>
      </c>
      <c r="G2269" s="710">
        <v>210</v>
      </c>
      <c r="H2269" s="682">
        <v>2400</v>
      </c>
      <c r="J2269" s="668" t="str">
        <f t="shared" ref="J2269:J2271" si="394">E2269</f>
        <v>Group Insurance</v>
      </c>
      <c r="L2269" s="668">
        <v>89</v>
      </c>
      <c r="M2269" s="669">
        <v>84</v>
      </c>
      <c r="N2269" s="668"/>
      <c r="O2269" s="668">
        <v>16</v>
      </c>
      <c r="P2269" s="668" t="str">
        <f>IFERROR(VLOOKUP(F2269, [2]MOE!B:C, 2, FALSE), "No")</f>
        <v>No</v>
      </c>
      <c r="Q2269" s="711" t="s">
        <v>1004</v>
      </c>
      <c r="S2269" s="670" t="s">
        <v>700</v>
      </c>
      <c r="T2269" s="668" t="s">
        <v>1066</v>
      </c>
    </row>
    <row r="2270" spans="1:20">
      <c r="A2270" s="679">
        <v>2202400</v>
      </c>
      <c r="B2270" s="677"/>
      <c r="C2270" s="672"/>
      <c r="D2270" s="672" t="s">
        <v>777</v>
      </c>
      <c r="E2270" s="676" t="s">
        <v>1068</v>
      </c>
      <c r="F2270" s="680" t="s">
        <v>3180</v>
      </c>
      <c r="G2270" s="710">
        <v>220</v>
      </c>
      <c r="H2270" s="682">
        <v>2400</v>
      </c>
      <c r="J2270" s="668" t="str">
        <f t="shared" si="394"/>
        <v>FICA</v>
      </c>
      <c r="L2270" s="668">
        <v>90</v>
      </c>
      <c r="M2270" s="669">
        <v>85</v>
      </c>
      <c r="N2270" s="668"/>
      <c r="O2270" s="668">
        <v>16</v>
      </c>
      <c r="P2270" s="668" t="str">
        <f>IFERROR(VLOOKUP(F2270, [2]MOE!B:C, 2, FALSE), "No")</f>
        <v>No</v>
      </c>
      <c r="Q2270" s="711" t="s">
        <v>1004</v>
      </c>
      <c r="S2270" s="670" t="s">
        <v>700</v>
      </c>
      <c r="T2270" s="668" t="s">
        <v>1068</v>
      </c>
    </row>
    <row r="2271" spans="1:20">
      <c r="A2271" s="679">
        <v>2252400</v>
      </c>
      <c r="B2271" s="677"/>
      <c r="C2271" s="672"/>
      <c r="D2271" s="672" t="s">
        <v>801</v>
      </c>
      <c r="E2271" s="676" t="s">
        <v>23</v>
      </c>
      <c r="F2271" s="680" t="s">
        <v>3181</v>
      </c>
      <c r="G2271" s="710">
        <v>225</v>
      </c>
      <c r="H2271" s="682">
        <v>2400</v>
      </c>
      <c r="J2271" s="668" t="str">
        <f t="shared" si="394"/>
        <v>Medicare</v>
      </c>
      <c r="L2271" s="668">
        <v>91</v>
      </c>
      <c r="M2271" s="669">
        <v>86</v>
      </c>
      <c r="N2271" s="668"/>
      <c r="O2271" s="668">
        <v>16</v>
      </c>
      <c r="P2271" s="668" t="str">
        <f>IFERROR(VLOOKUP(F2271, [2]MOE!B:C, 2, FALSE), "No")</f>
        <v>No</v>
      </c>
      <c r="Q2271" s="711" t="s">
        <v>1004</v>
      </c>
      <c r="S2271" s="670" t="s">
        <v>700</v>
      </c>
      <c r="T2271" s="668" t="s">
        <v>23</v>
      </c>
    </row>
    <row r="2272" spans="1:20">
      <c r="A2272" s="671"/>
      <c r="B2272" s="677"/>
      <c r="C2272" s="672"/>
      <c r="D2272" s="672" t="s">
        <v>805</v>
      </c>
      <c r="E2272" s="676" t="s">
        <v>1071</v>
      </c>
      <c r="F2272" s="675"/>
      <c r="G2272" s="672"/>
      <c r="H2272" s="676"/>
      <c r="Q2272" s="711"/>
      <c r="S2272" s="670"/>
    </row>
    <row r="2273" spans="1:20">
      <c r="A2273" s="679">
        <v>2312400</v>
      </c>
      <c r="B2273" s="677"/>
      <c r="C2273" s="672"/>
      <c r="D2273" s="672"/>
      <c r="E2273" s="676" t="s">
        <v>1072</v>
      </c>
      <c r="F2273" s="680" t="s">
        <v>3182</v>
      </c>
      <c r="G2273" s="710">
        <v>231</v>
      </c>
      <c r="H2273" s="682">
        <v>2400</v>
      </c>
      <c r="J2273" s="668" t="str">
        <f t="shared" ref="J2273:J2281" si="395">E2273</f>
        <v>(1) Louisiana Teachers Retirement</v>
      </c>
      <c r="L2273" s="668">
        <v>92</v>
      </c>
      <c r="M2273" s="669">
        <v>87</v>
      </c>
      <c r="N2273" s="668"/>
      <c r="O2273" s="668">
        <v>16</v>
      </c>
      <c r="P2273" s="668" t="str">
        <f>IFERROR(VLOOKUP(F2273, [2]MOE!B:C, 2, FALSE), "No")</f>
        <v>No</v>
      </c>
      <c r="Q2273" s="711" t="s">
        <v>1004</v>
      </c>
      <c r="S2273" s="670" t="s">
        <v>700</v>
      </c>
      <c r="T2273" s="668" t="s">
        <v>1074</v>
      </c>
    </row>
    <row r="2274" spans="1:20">
      <c r="A2274" s="679">
        <v>2332400</v>
      </c>
      <c r="B2274" s="677"/>
      <c r="C2274" s="672"/>
      <c r="D2274" s="672"/>
      <c r="E2274" s="676" t="s">
        <v>1075</v>
      </c>
      <c r="F2274" s="680" t="s">
        <v>3183</v>
      </c>
      <c r="G2274" s="710">
        <v>233</v>
      </c>
      <c r="H2274" s="682">
        <v>2400</v>
      </c>
      <c r="J2274" s="668" t="str">
        <f t="shared" si="395"/>
        <v>(2) Louisiana School Employees Retirement</v>
      </c>
      <c r="L2274" s="668">
        <v>92</v>
      </c>
      <c r="M2274" s="669">
        <v>87</v>
      </c>
      <c r="N2274" s="668"/>
      <c r="O2274" s="668">
        <v>16</v>
      </c>
      <c r="P2274" s="668" t="str">
        <f>IFERROR(VLOOKUP(F2274, [2]MOE!B:C, 2, FALSE), "No")</f>
        <v>No</v>
      </c>
      <c r="Q2274" s="711" t="s">
        <v>1004</v>
      </c>
      <c r="S2274" s="670" t="s">
        <v>700</v>
      </c>
      <c r="T2274" s="668" t="s">
        <v>1077</v>
      </c>
    </row>
    <row r="2275" spans="1:20">
      <c r="A2275" s="679">
        <v>2392400</v>
      </c>
      <c r="B2275" s="677"/>
      <c r="C2275" s="672"/>
      <c r="D2275" s="672"/>
      <c r="E2275" s="676" t="s">
        <v>1078</v>
      </c>
      <c r="F2275" s="680" t="s">
        <v>3184</v>
      </c>
      <c r="G2275" s="710">
        <v>239</v>
      </c>
      <c r="H2275" s="682">
        <v>2400</v>
      </c>
      <c r="J2275" s="668" t="str">
        <f t="shared" si="395"/>
        <v>(3) Other Retirement</v>
      </c>
      <c r="L2275" s="668">
        <v>92</v>
      </c>
      <c r="M2275" s="669">
        <v>87</v>
      </c>
      <c r="N2275" s="668"/>
      <c r="O2275" s="668">
        <v>16</v>
      </c>
      <c r="P2275" s="668" t="str">
        <f>IFERROR(VLOOKUP(F2275, [2]MOE!B:C, 2, FALSE), "No")</f>
        <v>No</v>
      </c>
      <c r="Q2275" s="711" t="s">
        <v>1004</v>
      </c>
      <c r="S2275" s="670" t="s">
        <v>700</v>
      </c>
      <c r="T2275" s="668" t="s">
        <v>1080</v>
      </c>
    </row>
    <row r="2276" spans="1:20">
      <c r="A2276" s="679">
        <v>2502400</v>
      </c>
      <c r="B2276" s="677"/>
      <c r="C2276" s="672"/>
      <c r="D2276" s="672" t="s">
        <v>850</v>
      </c>
      <c r="E2276" s="676" t="s">
        <v>1081</v>
      </c>
      <c r="F2276" s="680" t="s">
        <v>3185</v>
      </c>
      <c r="G2276" s="710">
        <v>250</v>
      </c>
      <c r="H2276" s="682">
        <v>2400</v>
      </c>
      <c r="J2276" s="668" t="str">
        <f t="shared" si="395"/>
        <v>Unemployment Compensation</v>
      </c>
      <c r="L2276" s="668">
        <v>93</v>
      </c>
      <c r="M2276" s="669">
        <v>88</v>
      </c>
      <c r="N2276" s="668"/>
      <c r="O2276" s="668">
        <v>16</v>
      </c>
      <c r="P2276" s="668" t="str">
        <f>IFERROR(VLOOKUP(F2276, [2]MOE!B:C, 2, FALSE), "No")</f>
        <v>No</v>
      </c>
      <c r="Q2276" s="711" t="s">
        <v>1004</v>
      </c>
      <c r="S2276" s="670" t="s">
        <v>700</v>
      </c>
      <c r="T2276" s="668" t="s">
        <v>1081</v>
      </c>
    </row>
    <row r="2277" spans="1:20">
      <c r="A2277" s="679">
        <v>2602400</v>
      </c>
      <c r="B2277" s="677"/>
      <c r="C2277" s="672"/>
      <c r="D2277" s="672" t="s">
        <v>853</v>
      </c>
      <c r="E2277" s="676" t="s">
        <v>1083</v>
      </c>
      <c r="F2277" s="680" t="s">
        <v>3186</v>
      </c>
      <c r="G2277" s="710">
        <v>260</v>
      </c>
      <c r="H2277" s="682">
        <v>2400</v>
      </c>
      <c r="J2277" s="668" t="str">
        <f t="shared" si="395"/>
        <v>Workmen's Compensation</v>
      </c>
      <c r="L2277" s="668">
        <v>95</v>
      </c>
      <c r="M2277" s="669">
        <v>90</v>
      </c>
      <c r="N2277" s="668"/>
      <c r="O2277" s="668">
        <v>16</v>
      </c>
      <c r="P2277" s="668" t="str">
        <f>IFERROR(VLOOKUP(F2277, [2]MOE!B:C, 2, FALSE), "No")</f>
        <v>No</v>
      </c>
      <c r="Q2277" s="711" t="s">
        <v>1004</v>
      </c>
      <c r="S2277" s="670" t="s">
        <v>700</v>
      </c>
      <c r="T2277" s="668" t="s">
        <v>1083</v>
      </c>
    </row>
    <row r="2278" spans="1:20">
      <c r="A2278" s="679">
        <v>2702400</v>
      </c>
      <c r="B2278" s="677"/>
      <c r="C2278" s="672"/>
      <c r="D2278" s="672" t="s">
        <v>856</v>
      </c>
      <c r="E2278" s="676" t="s">
        <v>1085</v>
      </c>
      <c r="F2278" s="680" t="s">
        <v>3187</v>
      </c>
      <c r="G2278" s="710">
        <v>270</v>
      </c>
      <c r="H2278" s="682">
        <v>2400</v>
      </c>
      <c r="J2278" s="668" t="str">
        <f t="shared" si="395"/>
        <v>Health Benefits (retirees)</v>
      </c>
      <c r="L2278" s="668">
        <v>94</v>
      </c>
      <c r="M2278" s="669">
        <v>89</v>
      </c>
      <c r="N2278" s="668"/>
      <c r="O2278" s="668">
        <v>16</v>
      </c>
      <c r="P2278" s="668" t="str">
        <f>IFERROR(VLOOKUP(F2278, [2]MOE!B:C, 2, FALSE), "No")</f>
        <v>No</v>
      </c>
      <c r="Q2278" s="711" t="s">
        <v>1004</v>
      </c>
      <c r="S2278" s="670" t="s">
        <v>700</v>
      </c>
      <c r="T2278" s="668" t="s">
        <v>1085</v>
      </c>
    </row>
    <row r="2279" spans="1:20">
      <c r="A2279" s="679">
        <v>2812400</v>
      </c>
      <c r="B2279" s="677"/>
      <c r="C2279" s="672"/>
      <c r="D2279" s="672" t="s">
        <v>859</v>
      </c>
      <c r="E2279" s="676" t="s">
        <v>1087</v>
      </c>
      <c r="F2279" s="680" t="s">
        <v>3188</v>
      </c>
      <c r="G2279" s="710">
        <v>281</v>
      </c>
      <c r="H2279" s="682">
        <v>2400</v>
      </c>
      <c r="J2279" s="668" t="str">
        <f t="shared" si="395"/>
        <v>Sick Leave Severance Pay</v>
      </c>
      <c r="L2279" s="668">
        <v>95</v>
      </c>
      <c r="M2279" s="669">
        <v>90</v>
      </c>
      <c r="N2279" s="668"/>
      <c r="O2279" s="668">
        <v>16</v>
      </c>
      <c r="P2279" s="668" t="str">
        <f>IFERROR(VLOOKUP(F2279, [2]MOE!B:C, 2, FALSE), "No")</f>
        <v>No</v>
      </c>
      <c r="Q2279" s="711" t="s">
        <v>1004</v>
      </c>
      <c r="S2279" s="670" t="s">
        <v>700</v>
      </c>
      <c r="T2279" s="668" t="s">
        <v>1087</v>
      </c>
    </row>
    <row r="2280" spans="1:20">
      <c r="A2280" s="679">
        <v>2822400</v>
      </c>
      <c r="B2280" s="677"/>
      <c r="C2280" s="672"/>
      <c r="D2280" s="672" t="s">
        <v>862</v>
      </c>
      <c r="E2280" s="676" t="s">
        <v>1089</v>
      </c>
      <c r="F2280" s="680" t="s">
        <v>3189</v>
      </c>
      <c r="G2280" s="710">
        <v>282</v>
      </c>
      <c r="H2280" s="682">
        <v>2400</v>
      </c>
      <c r="J2280" s="668" t="str">
        <f t="shared" si="395"/>
        <v>Annual Leave Severance Pay</v>
      </c>
      <c r="L2280" s="668">
        <v>95</v>
      </c>
      <c r="M2280" s="669">
        <v>90</v>
      </c>
      <c r="N2280" s="668"/>
      <c r="O2280" s="668">
        <v>16</v>
      </c>
      <c r="P2280" s="668" t="str">
        <f>IFERROR(VLOOKUP(F2280, [2]MOE!B:C, 2, FALSE), "No")</f>
        <v>No</v>
      </c>
      <c r="Q2280" s="711" t="s">
        <v>1004</v>
      </c>
      <c r="S2280" s="670" t="s">
        <v>700</v>
      </c>
      <c r="T2280" s="668" t="s">
        <v>1089</v>
      </c>
    </row>
    <row r="2281" spans="1:20" ht="16" thickBot="1">
      <c r="A2281" s="679">
        <v>2902400</v>
      </c>
      <c r="B2281" s="716"/>
      <c r="C2281" s="672"/>
      <c r="D2281" s="672" t="s">
        <v>1091</v>
      </c>
      <c r="E2281" s="676" t="s">
        <v>1092</v>
      </c>
      <c r="F2281" s="680" t="s">
        <v>3190</v>
      </c>
      <c r="G2281" s="710">
        <v>290</v>
      </c>
      <c r="H2281" s="682">
        <v>2400</v>
      </c>
      <c r="J2281" s="668" t="str">
        <f t="shared" si="395"/>
        <v>Other Employee Benefits</v>
      </c>
      <c r="L2281" s="668">
        <v>95</v>
      </c>
      <c r="M2281" s="669">
        <v>90</v>
      </c>
      <c r="N2281" s="668"/>
      <c r="O2281" s="668">
        <v>16</v>
      </c>
      <c r="P2281" s="668" t="str">
        <f>IFERROR(VLOOKUP(F2281, [2]MOE!B:C, 2, FALSE), "No")</f>
        <v>No</v>
      </c>
      <c r="Q2281" s="711" t="s">
        <v>1004</v>
      </c>
      <c r="S2281" s="670" t="s">
        <v>700</v>
      </c>
      <c r="T2281" s="668" t="s">
        <v>1092</v>
      </c>
    </row>
    <row r="2282" spans="1:20" ht="16.5" thickTop="1" thickBot="1">
      <c r="A2282" s="671"/>
      <c r="B2282" s="663"/>
      <c r="C2282" s="929" t="s">
        <v>3191</v>
      </c>
      <c r="D2282" s="930"/>
      <c r="E2282" s="932"/>
      <c r="F2282" s="705" t="s">
        <v>630</v>
      </c>
      <c r="G2282" s="706"/>
      <c r="H2282" s="707"/>
      <c r="Q2282" s="711"/>
      <c r="S2282" s="670"/>
    </row>
    <row r="2283" spans="1:20" ht="16" thickTop="1">
      <c r="A2283" s="671"/>
      <c r="B2283" s="672"/>
      <c r="C2283" s="672"/>
      <c r="D2283" s="672"/>
      <c r="E2283" s="676"/>
      <c r="F2283" s="675"/>
      <c r="G2283" s="672"/>
      <c r="H2283" s="676"/>
      <c r="Q2283" s="711"/>
      <c r="S2283" s="670"/>
    </row>
    <row r="2284" spans="1:20">
      <c r="A2284" s="671"/>
      <c r="B2284" s="677" t="s">
        <v>1639</v>
      </c>
      <c r="C2284" s="928" t="s">
        <v>701</v>
      </c>
      <c r="D2284" s="795"/>
      <c r="E2284" s="926"/>
      <c r="F2284" s="675"/>
      <c r="G2284" s="672"/>
      <c r="H2284" s="676"/>
      <c r="Q2284" s="711"/>
      <c r="S2284" s="670"/>
    </row>
    <row r="2285" spans="1:20">
      <c r="A2285" s="671"/>
      <c r="B2285" s="672"/>
      <c r="C2285" s="678">
        <v>70</v>
      </c>
      <c r="D2285" s="927" t="s">
        <v>3192</v>
      </c>
      <c r="E2285" s="926"/>
      <c r="F2285" s="675"/>
      <c r="G2285" s="672"/>
      <c r="H2285" s="676"/>
      <c r="Q2285" s="711"/>
      <c r="S2285" s="670"/>
    </row>
    <row r="2286" spans="1:20">
      <c r="A2286" s="671"/>
      <c r="B2286" s="672"/>
      <c r="C2286" s="672"/>
      <c r="D2286" s="927" t="s">
        <v>3193</v>
      </c>
      <c r="E2286" s="926"/>
      <c r="F2286" s="675"/>
      <c r="G2286" s="672"/>
      <c r="H2286" s="676"/>
      <c r="Q2286" s="711"/>
      <c r="S2286" s="670"/>
    </row>
    <row r="2287" spans="1:20">
      <c r="A2287" s="671"/>
      <c r="B2287" s="672"/>
      <c r="C2287" s="672"/>
      <c r="D2287" s="672" t="s">
        <v>759</v>
      </c>
      <c r="E2287" s="676" t="s">
        <v>244</v>
      </c>
      <c r="F2287" s="675"/>
      <c r="G2287" s="672"/>
      <c r="H2287" s="676"/>
      <c r="Q2287" s="711"/>
      <c r="S2287" s="670"/>
    </row>
    <row r="2288" spans="1:20">
      <c r="A2288" s="679">
        <v>1112510</v>
      </c>
      <c r="B2288" s="672"/>
      <c r="C2288" s="672"/>
      <c r="D2288" s="672"/>
      <c r="E2288" s="676" t="s">
        <v>3194</v>
      </c>
      <c r="F2288" s="680" t="s">
        <v>3195</v>
      </c>
      <c r="G2288" s="710">
        <v>111</v>
      </c>
      <c r="H2288" s="682">
        <v>2510</v>
      </c>
      <c r="J2288" s="668" t="str">
        <f t="shared" ref="J2288:J2291" si="396">E2288</f>
        <v>(1) Bus. Manager/CFO/Fiscal Supervisors</v>
      </c>
      <c r="L2288" s="668">
        <v>80</v>
      </c>
      <c r="M2288" s="669">
        <v>75</v>
      </c>
      <c r="N2288" s="668"/>
      <c r="O2288" s="668">
        <v>17</v>
      </c>
      <c r="P2288" s="668" t="str">
        <f>IFERROR(VLOOKUP(F2288, [2]MOE!B:C, 2, FALSE), "No")</f>
        <v>No</v>
      </c>
      <c r="Q2288" s="711"/>
      <c r="S2288" s="670" t="s">
        <v>701</v>
      </c>
      <c r="T2288" s="668" t="s">
        <v>3196</v>
      </c>
    </row>
    <row r="2289" spans="1:20">
      <c r="A2289" s="679">
        <v>1142510</v>
      </c>
      <c r="B2289" s="672"/>
      <c r="C2289" s="672"/>
      <c r="D2289" s="672"/>
      <c r="E2289" s="676" t="s">
        <v>3197</v>
      </c>
      <c r="F2289" s="680" t="s">
        <v>3198</v>
      </c>
      <c r="G2289" s="710">
        <v>114</v>
      </c>
      <c r="H2289" s="682">
        <v>2510</v>
      </c>
      <c r="J2289" s="668" t="str">
        <f t="shared" si="396"/>
        <v>(2) Clerical/Secretarial</v>
      </c>
      <c r="L2289" s="668">
        <v>84</v>
      </c>
      <c r="M2289" s="669">
        <v>79</v>
      </c>
      <c r="N2289" s="668"/>
      <c r="O2289" s="668">
        <v>17</v>
      </c>
      <c r="P2289" s="668" t="str">
        <f>IFERROR(VLOOKUP(F2289, [2]MOE!B:C, 2, FALSE), "No")</f>
        <v>No</v>
      </c>
      <c r="Q2289" s="711"/>
      <c r="S2289" s="670" t="s">
        <v>701</v>
      </c>
      <c r="T2289" s="668" t="s">
        <v>1854</v>
      </c>
    </row>
    <row r="2290" spans="1:20">
      <c r="A2290" s="679">
        <v>1182510</v>
      </c>
      <c r="B2290" s="672"/>
      <c r="C2290" s="672"/>
      <c r="D2290" s="672"/>
      <c r="E2290" s="676" t="s">
        <v>3199</v>
      </c>
      <c r="F2290" s="680" t="s">
        <v>3200</v>
      </c>
      <c r="G2290" s="710">
        <v>118</v>
      </c>
      <c r="H2290" s="682">
        <v>2510</v>
      </c>
      <c r="J2290" s="668" t="str">
        <f t="shared" si="396"/>
        <v>(3) Accountant/Auditor/Budget Analyst</v>
      </c>
      <c r="L2290" s="668">
        <v>86</v>
      </c>
      <c r="M2290" s="669">
        <v>81</v>
      </c>
      <c r="N2290" s="668"/>
      <c r="O2290" s="668">
        <v>17</v>
      </c>
      <c r="P2290" s="668" t="str">
        <f>IFERROR(VLOOKUP(F2290, [2]MOE!B:C, 2, FALSE), "No")</f>
        <v>No</v>
      </c>
      <c r="Q2290" s="711"/>
      <c r="S2290" s="670" t="s">
        <v>701</v>
      </c>
      <c r="T2290" s="668" t="s">
        <v>3201</v>
      </c>
    </row>
    <row r="2291" spans="1:20">
      <c r="A2291" s="679">
        <v>1002510</v>
      </c>
      <c r="B2291" s="672"/>
      <c r="C2291" s="672"/>
      <c r="D2291" s="672"/>
      <c r="E2291" s="676" t="s">
        <v>3202</v>
      </c>
      <c r="F2291" s="680" t="s">
        <v>3203</v>
      </c>
      <c r="G2291" s="710">
        <v>100</v>
      </c>
      <c r="H2291" s="682">
        <v>2510</v>
      </c>
      <c r="J2291" s="668" t="str">
        <f t="shared" si="396"/>
        <v>(4) Other Salaries - Fiscal Services</v>
      </c>
      <c r="L2291" s="668">
        <v>86</v>
      </c>
      <c r="M2291" s="669">
        <v>81</v>
      </c>
      <c r="N2291" s="668"/>
      <c r="O2291" s="668">
        <v>17</v>
      </c>
      <c r="P2291" s="668" t="str">
        <f>IFERROR(VLOOKUP(F2291, [2]MOE!B:C, 2, FALSE), "No")</f>
        <v>No</v>
      </c>
      <c r="Q2291" s="711"/>
      <c r="S2291" s="670" t="s">
        <v>701</v>
      </c>
      <c r="T2291" s="668" t="s">
        <v>3204</v>
      </c>
    </row>
    <row r="2292" spans="1:20">
      <c r="A2292" s="671"/>
      <c r="B2292" s="672"/>
      <c r="C2292" s="672"/>
      <c r="D2292" s="672" t="s">
        <v>777</v>
      </c>
      <c r="E2292" s="676" t="s">
        <v>1113</v>
      </c>
      <c r="F2292" s="675"/>
      <c r="G2292" s="672"/>
      <c r="H2292" s="676"/>
      <c r="Q2292" s="711"/>
      <c r="S2292" s="670"/>
    </row>
    <row r="2293" spans="1:20">
      <c r="A2293" s="679">
        <v>3402510</v>
      </c>
      <c r="B2293" s="672"/>
      <c r="C2293" s="672"/>
      <c r="D2293" s="672"/>
      <c r="E2293" s="676" t="s">
        <v>3205</v>
      </c>
      <c r="F2293" s="680" t="s">
        <v>3206</v>
      </c>
      <c r="G2293" s="710">
        <v>340</v>
      </c>
      <c r="H2293" s="682">
        <v>2510</v>
      </c>
      <c r="J2293" s="668" t="str">
        <f t="shared" ref="J2293:J2294" si="397">E2293</f>
        <v>(1) Technical Services (Bank Charges)</v>
      </c>
      <c r="L2293" s="668">
        <v>101</v>
      </c>
      <c r="M2293" s="669">
        <v>96</v>
      </c>
      <c r="N2293" s="668"/>
      <c r="O2293" s="668">
        <v>17</v>
      </c>
      <c r="P2293" s="668" t="str">
        <f>IFERROR(VLOOKUP(F2293, [2]MOE!B:C, 2, FALSE), "No")</f>
        <v>No</v>
      </c>
      <c r="Q2293" s="711"/>
      <c r="S2293" s="670" t="s">
        <v>701</v>
      </c>
      <c r="T2293" s="668" t="s">
        <v>3207</v>
      </c>
    </row>
    <row r="2294" spans="1:20">
      <c r="A2294" s="679">
        <v>3002510</v>
      </c>
      <c r="B2294" s="672"/>
      <c r="C2294" s="672"/>
      <c r="D2294" s="672"/>
      <c r="E2294" s="676" t="s">
        <v>3208</v>
      </c>
      <c r="F2294" s="680" t="s">
        <v>3209</v>
      </c>
      <c r="G2294" s="710">
        <v>300</v>
      </c>
      <c r="H2294" s="682">
        <v>2510</v>
      </c>
      <c r="J2294" s="668" t="str">
        <f t="shared" si="397"/>
        <v>(2) Other Purchased Prof. and Tech. Svcs</v>
      </c>
      <c r="L2294" s="668">
        <v>101</v>
      </c>
      <c r="M2294" s="669">
        <v>96</v>
      </c>
      <c r="N2294" s="668"/>
      <c r="O2294" s="668">
        <v>17</v>
      </c>
      <c r="P2294" s="668" t="str">
        <f>IFERROR(VLOOKUP(F2294, [2]MOE!B:C, 2, FALSE), "No")</f>
        <v>No</v>
      </c>
      <c r="Q2294" s="711"/>
      <c r="S2294" s="670" t="s">
        <v>701</v>
      </c>
      <c r="T2294" s="668" t="s">
        <v>3004</v>
      </c>
    </row>
    <row r="2295" spans="1:20">
      <c r="A2295" s="671"/>
      <c r="B2295" s="672"/>
      <c r="C2295" s="672"/>
      <c r="D2295" s="672" t="s">
        <v>801</v>
      </c>
      <c r="E2295" s="676" t="s">
        <v>250</v>
      </c>
      <c r="F2295" s="675"/>
      <c r="G2295" s="672"/>
      <c r="H2295" s="676"/>
      <c r="Q2295" s="711"/>
      <c r="S2295" s="670"/>
    </row>
    <row r="2296" spans="1:20">
      <c r="A2296" s="679">
        <v>4302510</v>
      </c>
      <c r="B2296" s="672"/>
      <c r="C2296" s="672"/>
      <c r="D2296" s="672"/>
      <c r="E2296" s="676" t="s">
        <v>1115</v>
      </c>
      <c r="F2296" s="680" t="s">
        <v>3210</v>
      </c>
      <c r="G2296" s="710">
        <v>430</v>
      </c>
      <c r="H2296" s="682">
        <v>2510</v>
      </c>
      <c r="J2296" s="668" t="str">
        <f t="shared" ref="J2296:J2298" si="398">E2296</f>
        <v>(1) Repairs and Maintenance Services</v>
      </c>
      <c r="L2296" s="668">
        <v>107</v>
      </c>
      <c r="M2296" s="669">
        <v>102</v>
      </c>
      <c r="N2296" s="668"/>
      <c r="O2296" s="668">
        <v>17</v>
      </c>
      <c r="P2296" s="668" t="str">
        <f>IFERROR(VLOOKUP(F2296, [2]MOE!B:C, 2, FALSE), "No")</f>
        <v>No</v>
      </c>
      <c r="Q2296" s="711"/>
      <c r="S2296" s="670" t="s">
        <v>701</v>
      </c>
      <c r="T2296" s="668" t="s">
        <v>1023</v>
      </c>
    </row>
    <row r="2297" spans="1:20">
      <c r="A2297" s="679">
        <v>4422510</v>
      </c>
      <c r="B2297" s="672"/>
      <c r="C2297" s="672"/>
      <c r="D2297" s="672"/>
      <c r="E2297" s="676" t="s">
        <v>1382</v>
      </c>
      <c r="F2297" s="680" t="s">
        <v>3211</v>
      </c>
      <c r="G2297" s="710">
        <v>442</v>
      </c>
      <c r="H2297" s="682">
        <v>2510</v>
      </c>
      <c r="J2297" s="668" t="str">
        <f t="shared" si="398"/>
        <v>(2) Rental of Equipment and Vehicles</v>
      </c>
      <c r="L2297" s="668">
        <v>106</v>
      </c>
      <c r="M2297" s="669">
        <v>101</v>
      </c>
      <c r="N2297" s="668"/>
      <c r="O2297" s="668">
        <v>17</v>
      </c>
      <c r="P2297" s="668" t="str">
        <f>IFERROR(VLOOKUP(F2297, [2]MOE!B:C, 2, FALSE), "No")</f>
        <v>No</v>
      </c>
      <c r="Q2297" s="711"/>
      <c r="S2297" s="670" t="s">
        <v>701</v>
      </c>
      <c r="T2297" s="668" t="s">
        <v>1384</v>
      </c>
    </row>
    <row r="2298" spans="1:20">
      <c r="A2298" s="679">
        <v>4002510</v>
      </c>
      <c r="B2298" s="672"/>
      <c r="C2298" s="672"/>
      <c r="D2298" s="672"/>
      <c r="E2298" s="676" t="s">
        <v>1119</v>
      </c>
      <c r="F2298" s="680" t="s">
        <v>3212</v>
      </c>
      <c r="G2298" s="710">
        <v>400</v>
      </c>
      <c r="H2298" s="682">
        <v>2510</v>
      </c>
      <c r="J2298" s="668" t="str">
        <f t="shared" si="398"/>
        <v>(3) Other Purchased Property Services</v>
      </c>
      <c r="L2298" s="668">
        <v>108</v>
      </c>
      <c r="M2298" s="669">
        <v>103</v>
      </c>
      <c r="N2298" s="668"/>
      <c r="O2298" s="668">
        <v>17</v>
      </c>
      <c r="P2298" s="668" t="str">
        <f>IFERROR(VLOOKUP(F2298, [2]MOE!B:C, 2, FALSE), "No")</f>
        <v>No</v>
      </c>
      <c r="Q2298" s="711"/>
      <c r="S2298" s="670" t="s">
        <v>701</v>
      </c>
      <c r="T2298" s="668" t="s">
        <v>1027</v>
      </c>
    </row>
    <row r="2299" spans="1:20">
      <c r="A2299" s="671"/>
      <c r="B2299" s="672"/>
      <c r="C2299" s="672"/>
      <c r="D2299" s="672" t="s">
        <v>805</v>
      </c>
      <c r="E2299" s="676" t="s">
        <v>252</v>
      </c>
      <c r="F2299" s="675"/>
      <c r="G2299" s="672"/>
      <c r="H2299" s="676"/>
      <c r="Q2299" s="711"/>
      <c r="S2299" s="670"/>
    </row>
    <row r="2300" spans="1:20">
      <c r="A2300" s="679">
        <v>5302510</v>
      </c>
      <c r="B2300" s="672"/>
      <c r="C2300" s="672"/>
      <c r="D2300" s="672"/>
      <c r="E2300" s="676" t="s">
        <v>3105</v>
      </c>
      <c r="F2300" s="680" t="s">
        <v>3213</v>
      </c>
      <c r="G2300" s="710">
        <v>530</v>
      </c>
      <c r="H2300" s="682">
        <v>2510</v>
      </c>
      <c r="J2300" s="668" t="str">
        <f t="shared" ref="J2300:J2303" si="399">E2300</f>
        <v>(1) Communications (phone/internet/post)</v>
      </c>
      <c r="L2300" s="668">
        <v>119</v>
      </c>
      <c r="M2300" s="669">
        <v>110</v>
      </c>
      <c r="N2300" s="668"/>
      <c r="O2300" s="668">
        <v>17</v>
      </c>
      <c r="P2300" s="668" t="str">
        <f>IFERROR(VLOOKUP(F2300, [2]MOE!B:C, 2, FALSE), "No")</f>
        <v>No</v>
      </c>
      <c r="Q2300" s="711"/>
      <c r="S2300" s="670" t="s">
        <v>701</v>
      </c>
      <c r="T2300" s="668" t="s">
        <v>3020</v>
      </c>
    </row>
    <row r="2301" spans="1:20">
      <c r="A2301" s="679">
        <v>5402510</v>
      </c>
      <c r="B2301" s="672"/>
      <c r="C2301" s="672"/>
      <c r="D2301" s="672"/>
      <c r="E2301" s="676" t="s">
        <v>3214</v>
      </c>
      <c r="F2301" s="680" t="s">
        <v>3215</v>
      </c>
      <c r="G2301" s="710">
        <v>540</v>
      </c>
      <c r="H2301" s="682">
        <v>2510</v>
      </c>
      <c r="J2301" s="668" t="str">
        <f t="shared" si="399"/>
        <v>(2) Advertising and Public Notices</v>
      </c>
      <c r="L2301" s="668">
        <v>119</v>
      </c>
      <c r="M2301" s="669">
        <v>110</v>
      </c>
      <c r="N2301" s="668"/>
      <c r="O2301" s="668">
        <v>17</v>
      </c>
      <c r="P2301" s="668" t="str">
        <f>IFERROR(VLOOKUP(F2301, [2]MOE!B:C, 2, FALSE), "No")</f>
        <v>No</v>
      </c>
      <c r="Q2301" s="711"/>
      <c r="S2301" s="670" t="s">
        <v>701</v>
      </c>
      <c r="T2301" s="668" t="s">
        <v>3216</v>
      </c>
    </row>
    <row r="2302" spans="1:20">
      <c r="A2302" s="679">
        <v>5822510</v>
      </c>
      <c r="B2302" s="672"/>
      <c r="C2302" s="672"/>
      <c r="D2302" s="672"/>
      <c r="E2302" s="676" t="s">
        <v>1393</v>
      </c>
      <c r="F2302" s="680" t="s">
        <v>3217</v>
      </c>
      <c r="G2302" s="710">
        <v>582</v>
      </c>
      <c r="H2302" s="682">
        <v>2510</v>
      </c>
      <c r="J2302" s="668" t="str">
        <f t="shared" si="399"/>
        <v>(3) Travel Expense Reimbursement</v>
      </c>
      <c r="L2302" s="668">
        <v>118</v>
      </c>
      <c r="M2302" s="669">
        <v>109</v>
      </c>
      <c r="N2302" s="668"/>
      <c r="O2302" s="668">
        <v>17</v>
      </c>
      <c r="P2302" s="668" t="str">
        <f>IFERROR(VLOOKUP(F2302, [2]MOE!B:C, 2, FALSE), "No")</f>
        <v>No</v>
      </c>
      <c r="Q2302" s="711"/>
      <c r="S2302" s="670" t="s">
        <v>701</v>
      </c>
      <c r="T2302" s="668" t="s">
        <v>1039</v>
      </c>
    </row>
    <row r="2303" spans="1:20">
      <c r="A2303" s="679">
        <v>5002510</v>
      </c>
      <c r="B2303" s="672"/>
      <c r="C2303" s="672"/>
      <c r="D2303" s="672"/>
      <c r="E2303" s="676" t="s">
        <v>1395</v>
      </c>
      <c r="F2303" s="680" t="s">
        <v>3218</v>
      </c>
      <c r="G2303" s="710">
        <v>500</v>
      </c>
      <c r="H2303" s="682">
        <v>2510</v>
      </c>
      <c r="J2303" s="668" t="str">
        <f t="shared" si="399"/>
        <v>(4) Other Purchased Services</v>
      </c>
      <c r="L2303" s="668">
        <v>119</v>
      </c>
      <c r="M2303" s="669">
        <v>110</v>
      </c>
      <c r="N2303" s="668"/>
      <c r="O2303" s="668">
        <v>17</v>
      </c>
      <c r="P2303" s="668" t="str">
        <f>IFERROR(VLOOKUP(F2303, [2]MOE!B:C, 2, FALSE), "No")</f>
        <v>No</v>
      </c>
      <c r="Q2303" s="711"/>
      <c r="S2303" s="670" t="s">
        <v>701</v>
      </c>
      <c r="T2303" s="668" t="s">
        <v>252</v>
      </c>
    </row>
    <row r="2304" spans="1:20">
      <c r="A2304" s="671"/>
      <c r="B2304" s="672"/>
      <c r="C2304" s="672"/>
      <c r="D2304" s="672" t="s">
        <v>850</v>
      </c>
      <c r="E2304" s="676" t="s">
        <v>254</v>
      </c>
      <c r="F2304" s="675"/>
      <c r="G2304" s="672"/>
      <c r="H2304" s="676"/>
      <c r="Q2304" s="711"/>
      <c r="S2304" s="670"/>
    </row>
    <row r="2305" spans="1:20">
      <c r="A2305" s="679">
        <v>6152510</v>
      </c>
      <c r="B2305" s="672"/>
      <c r="C2305" s="672"/>
      <c r="D2305" s="672"/>
      <c r="E2305" s="676" t="s">
        <v>1139</v>
      </c>
      <c r="F2305" s="680" t="s">
        <v>3219</v>
      </c>
      <c r="G2305" s="710">
        <v>615</v>
      </c>
      <c r="H2305" s="682">
        <v>2510</v>
      </c>
      <c r="J2305" s="668" t="str">
        <f t="shared" ref="J2305:J2307" si="400">E2305</f>
        <v>(1) Technology-Related Supplies</v>
      </c>
      <c r="L2305" s="668">
        <v>126</v>
      </c>
      <c r="M2305" s="669">
        <v>117</v>
      </c>
      <c r="N2305" s="668"/>
      <c r="O2305" s="668">
        <v>17</v>
      </c>
      <c r="P2305" s="668" t="str">
        <f>IFERROR(VLOOKUP(F2305, [2]MOE!B:C, 2, FALSE), "No")</f>
        <v>No</v>
      </c>
      <c r="Q2305" s="711" t="s">
        <v>1045</v>
      </c>
      <c r="S2305" s="670" t="s">
        <v>701</v>
      </c>
      <c r="T2305" s="668" t="s">
        <v>1043</v>
      </c>
    </row>
    <row r="2306" spans="1:20">
      <c r="A2306" s="679">
        <v>6102510</v>
      </c>
      <c r="B2306" s="672"/>
      <c r="C2306" s="672"/>
      <c r="D2306" s="672"/>
      <c r="E2306" s="676" t="s">
        <v>1141</v>
      </c>
      <c r="F2306" s="680" t="s">
        <v>3220</v>
      </c>
      <c r="G2306" s="710">
        <v>610</v>
      </c>
      <c r="H2306" s="682">
        <v>2510</v>
      </c>
      <c r="J2306" s="668" t="str">
        <f t="shared" si="400"/>
        <v>(2) Materials and Supplies</v>
      </c>
      <c r="L2306" s="668">
        <v>122</v>
      </c>
      <c r="M2306" s="669">
        <v>113</v>
      </c>
      <c r="N2306" s="668"/>
      <c r="O2306" s="668">
        <v>17</v>
      </c>
      <c r="P2306" s="668" t="str">
        <f>IFERROR(VLOOKUP(F2306, [2]MOE!B:C, 2, FALSE), "No")</f>
        <v>No</v>
      </c>
      <c r="Q2306" s="711" t="s">
        <v>1045</v>
      </c>
      <c r="S2306" s="670" t="s">
        <v>701</v>
      </c>
      <c r="T2306" s="668" t="s">
        <v>39</v>
      </c>
    </row>
    <row r="2307" spans="1:20">
      <c r="A2307" s="679">
        <v>6002510</v>
      </c>
      <c r="B2307" s="672"/>
      <c r="C2307" s="672"/>
      <c r="D2307" s="672"/>
      <c r="E2307" s="676" t="s">
        <v>1870</v>
      </c>
      <c r="F2307" s="680" t="s">
        <v>3221</v>
      </c>
      <c r="G2307" s="710">
        <v>600</v>
      </c>
      <c r="H2307" s="682">
        <v>2510</v>
      </c>
      <c r="J2307" s="668" t="str">
        <f t="shared" si="400"/>
        <v>(3) Other Supplies</v>
      </c>
      <c r="L2307" s="668">
        <v>126</v>
      </c>
      <c r="M2307" s="669">
        <v>117</v>
      </c>
      <c r="N2307" s="668"/>
      <c r="O2307" s="668">
        <v>17</v>
      </c>
      <c r="P2307" s="668" t="str">
        <f>IFERROR(VLOOKUP(F2307, [2]MOE!B:C, 2, FALSE), "No")</f>
        <v>No</v>
      </c>
      <c r="Q2307" s="711"/>
      <c r="S2307" s="670" t="s">
        <v>701</v>
      </c>
      <c r="T2307" s="668" t="s">
        <v>1050</v>
      </c>
    </row>
    <row r="2308" spans="1:20">
      <c r="A2308" s="671"/>
      <c r="B2308" s="672"/>
      <c r="C2308" s="672"/>
      <c r="D2308" s="672" t="s">
        <v>853</v>
      </c>
      <c r="E2308" s="676" t="s">
        <v>1052</v>
      </c>
      <c r="F2308" s="675"/>
      <c r="G2308" s="672"/>
      <c r="H2308" s="676"/>
      <c r="Q2308" s="711"/>
      <c r="S2308" s="670"/>
    </row>
    <row r="2309" spans="1:20">
      <c r="A2309" s="679">
        <v>7342510</v>
      </c>
      <c r="B2309" s="672"/>
      <c r="C2309" s="672"/>
      <c r="D2309" s="672"/>
      <c r="E2309" s="676" t="s">
        <v>1147</v>
      </c>
      <c r="F2309" s="680" t="s">
        <v>3222</v>
      </c>
      <c r="G2309" s="710">
        <v>734</v>
      </c>
      <c r="H2309" s="682">
        <v>2510</v>
      </c>
      <c r="J2309" s="668" t="str">
        <f t="shared" ref="J2309:J2312" si="401">E2309</f>
        <v>(1) Technology-Related Hardware</v>
      </c>
      <c r="L2309" s="668">
        <v>131</v>
      </c>
      <c r="M2309" s="669">
        <v>122</v>
      </c>
      <c r="N2309" s="668"/>
      <c r="O2309" s="668">
        <v>17</v>
      </c>
      <c r="P2309" s="668" t="str">
        <f>IFERROR(VLOOKUP(F2309, [2]MOE!B:C, 2, FALSE), "No")</f>
        <v>No</v>
      </c>
      <c r="Q2309" s="711"/>
      <c r="S2309" s="670" t="s">
        <v>701</v>
      </c>
      <c r="T2309" s="668" t="s">
        <v>1053</v>
      </c>
    </row>
    <row r="2310" spans="1:20">
      <c r="A2310" s="679">
        <v>7352510</v>
      </c>
      <c r="B2310" s="672"/>
      <c r="C2310" s="672"/>
      <c r="D2310" s="672"/>
      <c r="E2310" s="676" t="s">
        <v>1149</v>
      </c>
      <c r="F2310" s="680" t="s">
        <v>3223</v>
      </c>
      <c r="G2310" s="710">
        <v>735</v>
      </c>
      <c r="H2310" s="682">
        <v>2510</v>
      </c>
      <c r="J2310" s="668" t="str">
        <f t="shared" si="401"/>
        <v>(2) Technology Software</v>
      </c>
      <c r="L2310" s="668">
        <v>131</v>
      </c>
      <c r="M2310" s="669">
        <v>122</v>
      </c>
      <c r="N2310" s="668"/>
      <c r="O2310" s="668">
        <v>17</v>
      </c>
      <c r="P2310" s="668" t="str">
        <f>IFERROR(VLOOKUP(F2310, [2]MOE!B:C, 2, FALSE), "No")</f>
        <v>No</v>
      </c>
      <c r="Q2310" s="711"/>
      <c r="S2310" s="670" t="s">
        <v>701</v>
      </c>
      <c r="T2310" s="668" t="s">
        <v>1055</v>
      </c>
    </row>
    <row r="2311" spans="1:20">
      <c r="A2311" s="679">
        <v>7302510</v>
      </c>
      <c r="B2311" s="672"/>
      <c r="C2311" s="672"/>
      <c r="D2311" s="672"/>
      <c r="E2311" s="676" t="s">
        <v>1151</v>
      </c>
      <c r="F2311" s="680" t="s">
        <v>3224</v>
      </c>
      <c r="G2311" s="710">
        <v>730</v>
      </c>
      <c r="H2311" s="682">
        <v>2510</v>
      </c>
      <c r="J2311" s="668" t="str">
        <f t="shared" si="401"/>
        <v>(3) All Other Equipment</v>
      </c>
      <c r="L2311" s="668">
        <v>131</v>
      </c>
      <c r="M2311" s="669">
        <v>122</v>
      </c>
      <c r="N2311" s="668"/>
      <c r="O2311" s="668">
        <v>17</v>
      </c>
      <c r="P2311" s="668" t="str">
        <f>IFERROR(VLOOKUP(F2311, [2]MOE!B:C, 2, FALSE), "No")</f>
        <v>No</v>
      </c>
      <c r="Q2311" s="711"/>
      <c r="S2311" s="670" t="s">
        <v>701</v>
      </c>
      <c r="T2311" s="668" t="s">
        <v>1057</v>
      </c>
    </row>
    <row r="2312" spans="1:20">
      <c r="A2312" s="679">
        <v>7002510</v>
      </c>
      <c r="B2312" s="672"/>
      <c r="C2312" s="672"/>
      <c r="D2312" s="672"/>
      <c r="E2312" s="676" t="s">
        <v>1153</v>
      </c>
      <c r="F2312" s="680" t="s">
        <v>3225</v>
      </c>
      <c r="G2312" s="710">
        <v>700</v>
      </c>
      <c r="H2312" s="682">
        <v>2510</v>
      </c>
      <c r="J2312" s="668" t="str">
        <f t="shared" si="401"/>
        <v>(4) Other Property</v>
      </c>
      <c r="L2312" s="668">
        <v>132</v>
      </c>
      <c r="M2312" s="669">
        <v>123</v>
      </c>
      <c r="N2312" s="668"/>
      <c r="O2312" s="668">
        <v>17</v>
      </c>
      <c r="P2312" s="668" t="str">
        <f>IFERROR(VLOOKUP(F2312, [2]MOE!B:C, 2, FALSE), "No")</f>
        <v>No</v>
      </c>
      <c r="Q2312" s="711"/>
      <c r="S2312" s="670" t="s">
        <v>701</v>
      </c>
      <c r="T2312" s="668" t="s">
        <v>1059</v>
      </c>
    </row>
    <row r="2313" spans="1:20">
      <c r="A2313" s="671"/>
      <c r="B2313" s="672"/>
      <c r="C2313" s="672"/>
      <c r="D2313" s="672" t="s">
        <v>856</v>
      </c>
      <c r="E2313" s="676" t="s">
        <v>3061</v>
      </c>
      <c r="F2313" s="675"/>
      <c r="G2313" s="672"/>
      <c r="H2313" s="676"/>
      <c r="Q2313" s="711"/>
      <c r="S2313" s="670"/>
    </row>
    <row r="2314" spans="1:20">
      <c r="A2314" s="679">
        <v>8352510</v>
      </c>
      <c r="B2314" s="672"/>
      <c r="C2314" s="672"/>
      <c r="D2314" s="672"/>
      <c r="E2314" s="676" t="s">
        <v>3226</v>
      </c>
      <c r="F2314" s="680" t="s">
        <v>3227</v>
      </c>
      <c r="G2314" s="710">
        <v>835</v>
      </c>
      <c r="H2314" s="682">
        <v>2510</v>
      </c>
      <c r="J2314" s="668" t="str">
        <f t="shared" ref="J2314:J2315" si="402">E2314</f>
        <v>(1) Interest (short-term loans)</v>
      </c>
      <c r="L2314" s="668">
        <v>137</v>
      </c>
      <c r="M2314" s="669">
        <v>127</v>
      </c>
      <c r="N2314" s="668"/>
      <c r="O2314" s="668">
        <v>17</v>
      </c>
      <c r="P2314" s="668" t="str">
        <f>IFERROR(VLOOKUP(F2314, [2]MOE!B:C, 2, FALSE), "No")</f>
        <v>No</v>
      </c>
      <c r="Q2314" s="711"/>
      <c r="S2314" s="670" t="s">
        <v>701</v>
      </c>
      <c r="T2314" s="668" t="s">
        <v>3228</v>
      </c>
    </row>
    <row r="2315" spans="1:20">
      <c r="A2315" s="679">
        <v>8002510</v>
      </c>
      <c r="B2315" s="672"/>
      <c r="C2315" s="672"/>
      <c r="D2315" s="672"/>
      <c r="E2315" s="676" t="s">
        <v>3229</v>
      </c>
      <c r="F2315" s="680" t="s">
        <v>3230</v>
      </c>
      <c r="G2315" s="710">
        <v>800</v>
      </c>
      <c r="H2315" s="682">
        <v>2510</v>
      </c>
      <c r="J2315" s="668" t="str">
        <f t="shared" si="402"/>
        <v>(2) Miscellaneous Expenditures</v>
      </c>
      <c r="L2315" s="668">
        <v>139</v>
      </c>
      <c r="M2315" s="669">
        <v>129</v>
      </c>
      <c r="N2315" s="668"/>
      <c r="O2315" s="668">
        <v>17</v>
      </c>
      <c r="P2315" s="668" t="str">
        <f>IFERROR(VLOOKUP(F2315, [2]MOE!B:C, 2, FALSE), "No")</f>
        <v>No</v>
      </c>
      <c r="Q2315" s="711"/>
      <c r="S2315" s="670" t="s">
        <v>701</v>
      </c>
      <c r="T2315" s="668" t="s">
        <v>3071</v>
      </c>
    </row>
    <row r="2316" spans="1:20">
      <c r="A2316" s="671"/>
      <c r="B2316" s="672"/>
      <c r="C2316" s="672"/>
      <c r="D2316" s="672" t="s">
        <v>859</v>
      </c>
      <c r="E2316" s="676" t="s">
        <v>1065</v>
      </c>
      <c r="F2316" s="675"/>
      <c r="G2316" s="672"/>
      <c r="H2316" s="676"/>
      <c r="Q2316" s="711"/>
      <c r="S2316" s="670"/>
    </row>
    <row r="2317" spans="1:20">
      <c r="A2317" s="679">
        <v>2102510</v>
      </c>
      <c r="B2317" s="672"/>
      <c r="C2317" s="672"/>
      <c r="D2317" s="672"/>
      <c r="E2317" s="676" t="s">
        <v>1159</v>
      </c>
      <c r="F2317" s="680" t="s">
        <v>3231</v>
      </c>
      <c r="G2317" s="710">
        <v>210</v>
      </c>
      <c r="H2317" s="682">
        <v>2510</v>
      </c>
      <c r="J2317" s="668" t="str">
        <f t="shared" ref="J2317:J2319" si="403">E2317</f>
        <v>(1) Group Insurance</v>
      </c>
      <c r="L2317" s="668">
        <v>89</v>
      </c>
      <c r="M2317" s="669">
        <v>84</v>
      </c>
      <c r="N2317" s="668"/>
      <c r="O2317" s="668">
        <v>17</v>
      </c>
      <c r="P2317" s="668" t="str">
        <f>IFERROR(VLOOKUP(F2317, [2]MOE!B:C, 2, FALSE), "No")</f>
        <v>No</v>
      </c>
      <c r="Q2317" s="711"/>
      <c r="S2317" s="670" t="s">
        <v>701</v>
      </c>
      <c r="T2317" s="668" t="s">
        <v>1066</v>
      </c>
    </row>
    <row r="2318" spans="1:20">
      <c r="A2318" s="679">
        <v>2202510</v>
      </c>
      <c r="B2318" s="672"/>
      <c r="C2318" s="672"/>
      <c r="D2318" s="672"/>
      <c r="E2318" s="676" t="s">
        <v>1161</v>
      </c>
      <c r="F2318" s="680" t="s">
        <v>3232</v>
      </c>
      <c r="G2318" s="710">
        <v>220</v>
      </c>
      <c r="H2318" s="682">
        <v>2510</v>
      </c>
      <c r="J2318" s="668" t="str">
        <f t="shared" si="403"/>
        <v>(2) FICA</v>
      </c>
      <c r="L2318" s="668">
        <v>90</v>
      </c>
      <c r="M2318" s="669">
        <v>85</v>
      </c>
      <c r="N2318" s="668"/>
      <c r="O2318" s="668">
        <v>17</v>
      </c>
      <c r="P2318" s="668" t="str">
        <f>IFERROR(VLOOKUP(F2318, [2]MOE!B:C, 2, FALSE), "No")</f>
        <v>No</v>
      </c>
      <c r="Q2318" s="711"/>
      <c r="S2318" s="670" t="s">
        <v>701</v>
      </c>
      <c r="T2318" s="668" t="s">
        <v>1068</v>
      </c>
    </row>
    <row r="2319" spans="1:20">
      <c r="A2319" s="679">
        <v>2252510</v>
      </c>
      <c r="B2319" s="672"/>
      <c r="C2319" s="672"/>
      <c r="D2319" s="672"/>
      <c r="E2319" s="676" t="s">
        <v>1163</v>
      </c>
      <c r="F2319" s="680" t="s">
        <v>3233</v>
      </c>
      <c r="G2319" s="710">
        <v>225</v>
      </c>
      <c r="H2319" s="682">
        <v>2510</v>
      </c>
      <c r="J2319" s="668" t="str">
        <f t="shared" si="403"/>
        <v>(3) Medicare</v>
      </c>
      <c r="L2319" s="668">
        <v>91</v>
      </c>
      <c r="M2319" s="669">
        <v>86</v>
      </c>
      <c r="N2319" s="668"/>
      <c r="O2319" s="668">
        <v>17</v>
      </c>
      <c r="P2319" s="668" t="str">
        <f>IFERROR(VLOOKUP(F2319, [2]MOE!B:C, 2, FALSE), "No")</f>
        <v>No</v>
      </c>
      <c r="Q2319" s="711"/>
      <c r="S2319" s="670" t="s">
        <v>701</v>
      </c>
      <c r="T2319" s="668" t="s">
        <v>23</v>
      </c>
    </row>
    <row r="2320" spans="1:20">
      <c r="A2320" s="671"/>
      <c r="B2320" s="672"/>
      <c r="C2320" s="672"/>
      <c r="D2320" s="672"/>
      <c r="E2320" s="676" t="s">
        <v>1165</v>
      </c>
      <c r="F2320" s="675"/>
      <c r="G2320" s="672"/>
      <c r="H2320" s="676"/>
      <c r="Q2320" s="711"/>
      <c r="S2320" s="670"/>
    </row>
    <row r="2321" spans="1:20">
      <c r="A2321" s="679">
        <v>2312510</v>
      </c>
      <c r="B2321" s="672"/>
      <c r="C2321" s="672"/>
      <c r="D2321" s="672"/>
      <c r="E2321" s="676" t="s">
        <v>1166</v>
      </c>
      <c r="F2321" s="680" t="s">
        <v>3234</v>
      </c>
      <c r="G2321" s="710">
        <v>231</v>
      </c>
      <c r="H2321" s="682">
        <v>2510</v>
      </c>
      <c r="J2321" s="668" t="str">
        <f t="shared" ref="J2321:J2329" si="404">E2321</f>
        <v>(a) Louisiana Teachers Retirement</v>
      </c>
      <c r="L2321" s="668">
        <v>92</v>
      </c>
      <c r="M2321" s="669">
        <v>87</v>
      </c>
      <c r="N2321" s="668"/>
      <c r="O2321" s="668">
        <v>17</v>
      </c>
      <c r="P2321" s="668" t="str">
        <f>IFERROR(VLOOKUP(F2321, [2]MOE!B:C, 2, FALSE), "No")</f>
        <v>No</v>
      </c>
      <c r="Q2321" s="711"/>
      <c r="S2321" s="670" t="s">
        <v>701</v>
      </c>
      <c r="T2321" s="668" t="s">
        <v>1074</v>
      </c>
    </row>
    <row r="2322" spans="1:20">
      <c r="A2322" s="679">
        <v>2332510</v>
      </c>
      <c r="B2322" s="672"/>
      <c r="C2322" s="672"/>
      <c r="D2322" s="672"/>
      <c r="E2322" s="676" t="s">
        <v>1168</v>
      </c>
      <c r="F2322" s="680" t="s">
        <v>3235</v>
      </c>
      <c r="G2322" s="710">
        <v>233</v>
      </c>
      <c r="H2322" s="682">
        <v>2510</v>
      </c>
      <c r="J2322" s="668" t="str">
        <f t="shared" si="404"/>
        <v>(b) Louisiana School Emp. Retirement</v>
      </c>
      <c r="L2322" s="668">
        <v>92</v>
      </c>
      <c r="M2322" s="669">
        <v>87</v>
      </c>
      <c r="N2322" s="668"/>
      <c r="O2322" s="668">
        <v>17</v>
      </c>
      <c r="P2322" s="668" t="str">
        <f>IFERROR(VLOOKUP(F2322, [2]MOE!B:C, 2, FALSE), "No")</f>
        <v>No</v>
      </c>
      <c r="Q2322" s="711"/>
      <c r="S2322" s="670" t="s">
        <v>701</v>
      </c>
      <c r="T2322" s="668" t="s">
        <v>1170</v>
      </c>
    </row>
    <row r="2323" spans="1:20">
      <c r="A2323" s="679">
        <v>2392510</v>
      </c>
      <c r="B2323" s="672"/>
      <c r="C2323" s="672"/>
      <c r="D2323" s="672"/>
      <c r="E2323" s="676" t="s">
        <v>1171</v>
      </c>
      <c r="F2323" s="680" t="s">
        <v>3236</v>
      </c>
      <c r="G2323" s="710">
        <v>239</v>
      </c>
      <c r="H2323" s="682">
        <v>2510</v>
      </c>
      <c r="J2323" s="668" t="str">
        <f t="shared" si="404"/>
        <v>(c) Other Retirement</v>
      </c>
      <c r="L2323" s="668">
        <v>92</v>
      </c>
      <c r="M2323" s="669">
        <v>87</v>
      </c>
      <c r="N2323" s="668"/>
      <c r="O2323" s="668">
        <v>17</v>
      </c>
      <c r="P2323" s="668" t="str">
        <f>IFERROR(VLOOKUP(F2323, [2]MOE!B:C, 2, FALSE), "No")</f>
        <v>No</v>
      </c>
      <c r="Q2323" s="711"/>
      <c r="S2323" s="670" t="s">
        <v>701</v>
      </c>
      <c r="T2323" s="668" t="s">
        <v>1080</v>
      </c>
    </row>
    <row r="2324" spans="1:20">
      <c r="A2324" s="679">
        <v>2502510</v>
      </c>
      <c r="B2324" s="672"/>
      <c r="C2324" s="672"/>
      <c r="D2324" s="672"/>
      <c r="E2324" s="676" t="s">
        <v>1173</v>
      </c>
      <c r="F2324" s="680" t="s">
        <v>3237</v>
      </c>
      <c r="G2324" s="710">
        <v>250</v>
      </c>
      <c r="H2324" s="682">
        <v>2510</v>
      </c>
      <c r="J2324" s="668" t="str">
        <f t="shared" si="404"/>
        <v>(5) Unemployment Compensation</v>
      </c>
      <c r="L2324" s="668">
        <v>93</v>
      </c>
      <c r="M2324" s="669">
        <v>88</v>
      </c>
      <c r="N2324" s="668"/>
      <c r="O2324" s="668">
        <v>17</v>
      </c>
      <c r="P2324" s="668" t="str">
        <f>IFERROR(VLOOKUP(F2324, [2]MOE!B:C, 2, FALSE), "No")</f>
        <v>No</v>
      </c>
      <c r="Q2324" s="711"/>
      <c r="S2324" s="670" t="s">
        <v>701</v>
      </c>
      <c r="T2324" s="668" t="s">
        <v>1081</v>
      </c>
    </row>
    <row r="2325" spans="1:20">
      <c r="A2325" s="679">
        <v>2602510</v>
      </c>
      <c r="B2325" s="672"/>
      <c r="C2325" s="672"/>
      <c r="D2325" s="672"/>
      <c r="E2325" s="676" t="s">
        <v>1175</v>
      </c>
      <c r="F2325" s="680" t="s">
        <v>3238</v>
      </c>
      <c r="G2325" s="710">
        <v>260</v>
      </c>
      <c r="H2325" s="682">
        <v>2510</v>
      </c>
      <c r="J2325" s="668" t="str">
        <f t="shared" si="404"/>
        <v>(6) Workmen's Compensation</v>
      </c>
      <c r="L2325" s="668">
        <v>95</v>
      </c>
      <c r="M2325" s="669">
        <v>90</v>
      </c>
      <c r="N2325" s="668"/>
      <c r="O2325" s="668">
        <v>17</v>
      </c>
      <c r="P2325" s="668" t="str">
        <f>IFERROR(VLOOKUP(F2325, [2]MOE!B:C, 2, FALSE), "No")</f>
        <v>No</v>
      </c>
      <c r="Q2325" s="711"/>
      <c r="S2325" s="670" t="s">
        <v>701</v>
      </c>
      <c r="T2325" s="668" t="s">
        <v>1083</v>
      </c>
    </row>
    <row r="2326" spans="1:20">
      <c r="A2326" s="679">
        <v>2702510</v>
      </c>
      <c r="B2326" s="672"/>
      <c r="C2326" s="672"/>
      <c r="D2326" s="672"/>
      <c r="E2326" s="676" t="s">
        <v>1177</v>
      </c>
      <c r="F2326" s="680" t="s">
        <v>3239</v>
      </c>
      <c r="G2326" s="710">
        <v>270</v>
      </c>
      <c r="H2326" s="682">
        <v>2510</v>
      </c>
      <c r="J2326" s="668" t="str">
        <f t="shared" si="404"/>
        <v>(7) Health Benefits (retirees)</v>
      </c>
      <c r="L2326" s="668">
        <v>94</v>
      </c>
      <c r="M2326" s="669">
        <v>89</v>
      </c>
      <c r="N2326" s="668"/>
      <c r="O2326" s="668">
        <v>17</v>
      </c>
      <c r="P2326" s="668" t="str">
        <f>IFERROR(VLOOKUP(F2326, [2]MOE!B:C, 2, FALSE), "No")</f>
        <v>No</v>
      </c>
      <c r="Q2326" s="711"/>
      <c r="S2326" s="670" t="s">
        <v>701</v>
      </c>
      <c r="T2326" s="668" t="s">
        <v>1085</v>
      </c>
    </row>
    <row r="2327" spans="1:20">
      <c r="A2327" s="679">
        <v>2812510</v>
      </c>
      <c r="B2327" s="672"/>
      <c r="C2327" s="672"/>
      <c r="D2327" s="672"/>
      <c r="E2327" s="676" t="s">
        <v>1179</v>
      </c>
      <c r="F2327" s="680" t="s">
        <v>3240</v>
      </c>
      <c r="G2327" s="710">
        <v>281</v>
      </c>
      <c r="H2327" s="682">
        <v>2510</v>
      </c>
      <c r="J2327" s="668" t="str">
        <f t="shared" si="404"/>
        <v>(8) Sick Leave Severance Pay</v>
      </c>
      <c r="L2327" s="668">
        <v>95</v>
      </c>
      <c r="M2327" s="669">
        <v>90</v>
      </c>
      <c r="N2327" s="668"/>
      <c r="O2327" s="668">
        <v>17</v>
      </c>
      <c r="P2327" s="668" t="str">
        <f>IFERROR(VLOOKUP(F2327, [2]MOE!B:C, 2, FALSE), "No")</f>
        <v>No</v>
      </c>
      <c r="Q2327" s="711"/>
      <c r="S2327" s="670" t="s">
        <v>701</v>
      </c>
      <c r="T2327" s="668" t="s">
        <v>1087</v>
      </c>
    </row>
    <row r="2328" spans="1:20">
      <c r="A2328" s="679">
        <v>2822510</v>
      </c>
      <c r="B2328" s="672"/>
      <c r="C2328" s="672"/>
      <c r="D2328" s="672"/>
      <c r="E2328" s="676" t="s">
        <v>1181</v>
      </c>
      <c r="F2328" s="680" t="s">
        <v>3241</v>
      </c>
      <c r="G2328" s="710">
        <v>282</v>
      </c>
      <c r="H2328" s="682">
        <v>2510</v>
      </c>
      <c r="J2328" s="668" t="str">
        <f t="shared" si="404"/>
        <v>(9) Annual Leave Severance Pay</v>
      </c>
      <c r="L2328" s="668">
        <v>95</v>
      </c>
      <c r="M2328" s="669">
        <v>90</v>
      </c>
      <c r="N2328" s="668"/>
      <c r="O2328" s="668">
        <v>17</v>
      </c>
      <c r="P2328" s="668" t="str">
        <f>IFERROR(VLOOKUP(F2328, [2]MOE!B:C, 2, FALSE), "No")</f>
        <v>No</v>
      </c>
      <c r="Q2328" s="711"/>
      <c r="S2328" s="670" t="s">
        <v>701</v>
      </c>
      <c r="T2328" s="668" t="s">
        <v>1089</v>
      </c>
    </row>
    <row r="2329" spans="1:20">
      <c r="A2329" s="679">
        <v>2902510</v>
      </c>
      <c r="B2329" s="672"/>
      <c r="C2329" s="672"/>
      <c r="D2329" s="672"/>
      <c r="E2329" s="676" t="s">
        <v>1183</v>
      </c>
      <c r="F2329" s="680" t="s">
        <v>3242</v>
      </c>
      <c r="G2329" s="710">
        <v>290</v>
      </c>
      <c r="H2329" s="682">
        <v>2510</v>
      </c>
      <c r="J2329" s="668" t="str">
        <f t="shared" si="404"/>
        <v>(10) Other Employee Benefits</v>
      </c>
      <c r="L2329" s="668">
        <v>95</v>
      </c>
      <c r="M2329" s="669">
        <v>90</v>
      </c>
      <c r="N2329" s="668"/>
      <c r="O2329" s="668">
        <v>17</v>
      </c>
      <c r="P2329" s="668" t="str">
        <f>IFERROR(VLOOKUP(F2329, [2]MOE!B:C, 2, FALSE), "No")</f>
        <v>No</v>
      </c>
      <c r="Q2329" s="711"/>
      <c r="S2329" s="670" t="s">
        <v>701</v>
      </c>
      <c r="T2329" s="668" t="s">
        <v>1092</v>
      </c>
    </row>
    <row r="2330" spans="1:20">
      <c r="A2330" s="671"/>
      <c r="B2330" s="672"/>
      <c r="C2330" s="678">
        <v>71</v>
      </c>
      <c r="D2330" s="925" t="s">
        <v>3243</v>
      </c>
      <c r="E2330" s="926"/>
      <c r="F2330" s="675"/>
      <c r="G2330" s="672"/>
      <c r="H2330" s="676"/>
      <c r="Q2330" s="711"/>
      <c r="S2330" s="670"/>
    </row>
    <row r="2331" spans="1:20">
      <c r="A2331" s="671"/>
      <c r="B2331" s="672"/>
      <c r="C2331" s="672"/>
      <c r="D2331" s="672" t="s">
        <v>759</v>
      </c>
      <c r="E2331" s="676" t="s">
        <v>244</v>
      </c>
      <c r="F2331" s="675"/>
      <c r="G2331" s="672"/>
      <c r="H2331" s="676"/>
      <c r="Q2331" s="711"/>
      <c r="S2331" s="670"/>
    </row>
    <row r="2332" spans="1:20">
      <c r="A2332" s="679">
        <v>1112520</v>
      </c>
      <c r="B2332" s="672"/>
      <c r="C2332" s="672"/>
      <c r="D2332" s="672"/>
      <c r="E2332" s="676" t="s">
        <v>3244</v>
      </c>
      <c r="F2332" s="680" t="s">
        <v>3245</v>
      </c>
      <c r="G2332" s="710">
        <v>111</v>
      </c>
      <c r="H2332" s="682">
        <v>2520</v>
      </c>
      <c r="J2332" s="668" t="str">
        <f t="shared" ref="J2332:J2335" si="405">E2332</f>
        <v>(1) Purchasing Agents</v>
      </c>
      <c r="L2332" s="668">
        <v>81</v>
      </c>
      <c r="M2332" s="669">
        <v>76</v>
      </c>
      <c r="N2332" s="668"/>
      <c r="O2332" s="668">
        <v>17</v>
      </c>
      <c r="P2332" s="668" t="str">
        <f>IFERROR(VLOOKUP(F2332, [2]MOE!B:C, 2, FALSE), "No")</f>
        <v>No</v>
      </c>
      <c r="Q2332" s="711"/>
      <c r="S2332" s="670" t="s">
        <v>3243</v>
      </c>
      <c r="T2332" s="668" t="s">
        <v>3246</v>
      </c>
    </row>
    <row r="2333" spans="1:20">
      <c r="A2333" s="679">
        <v>1142520</v>
      </c>
      <c r="B2333" s="672"/>
      <c r="C2333" s="672"/>
      <c r="D2333" s="672"/>
      <c r="E2333" s="676" t="s">
        <v>3197</v>
      </c>
      <c r="F2333" s="680" t="s">
        <v>3247</v>
      </c>
      <c r="G2333" s="710">
        <v>114</v>
      </c>
      <c r="H2333" s="682">
        <v>2520</v>
      </c>
      <c r="J2333" s="668" t="str">
        <f t="shared" si="405"/>
        <v>(2) Clerical/Secretarial</v>
      </c>
      <c r="L2333" s="668">
        <v>84</v>
      </c>
      <c r="M2333" s="669">
        <v>79</v>
      </c>
      <c r="N2333" s="668"/>
      <c r="O2333" s="668">
        <v>17</v>
      </c>
      <c r="P2333" s="668" t="str">
        <f>IFERROR(VLOOKUP(F2333, [2]MOE!B:C, 2, FALSE), "No")</f>
        <v>No</v>
      </c>
      <c r="Q2333" s="711"/>
      <c r="S2333" s="670" t="s">
        <v>3243</v>
      </c>
      <c r="T2333" s="668" t="s">
        <v>1854</v>
      </c>
    </row>
    <row r="2334" spans="1:20">
      <c r="A2334" s="679">
        <v>1002520</v>
      </c>
      <c r="B2334" s="672"/>
      <c r="C2334" s="672"/>
      <c r="D2334" s="672"/>
      <c r="E2334" s="676" t="s">
        <v>3248</v>
      </c>
      <c r="F2334" s="680" t="s">
        <v>3249</v>
      </c>
      <c r="G2334" s="710">
        <v>100</v>
      </c>
      <c r="H2334" s="682">
        <v>2520</v>
      </c>
      <c r="J2334" s="668" t="str">
        <f t="shared" si="405"/>
        <v>(3) Other Salaries - Purchasing Services</v>
      </c>
      <c r="L2334" s="668">
        <v>86</v>
      </c>
      <c r="M2334" s="669">
        <v>81</v>
      </c>
      <c r="N2334" s="668"/>
      <c r="O2334" s="668">
        <v>17</v>
      </c>
      <c r="P2334" s="668" t="str">
        <f>IFERROR(VLOOKUP(F2334, [2]MOE!B:C, 2, FALSE), "No")</f>
        <v>No</v>
      </c>
      <c r="Q2334" s="711"/>
      <c r="S2334" s="670" t="s">
        <v>3243</v>
      </c>
      <c r="T2334" s="668" t="s">
        <v>3250</v>
      </c>
    </row>
    <row r="2335" spans="1:20">
      <c r="A2335" s="679">
        <v>3002520</v>
      </c>
      <c r="B2335" s="672"/>
      <c r="C2335" s="672"/>
      <c r="D2335" s="672" t="s">
        <v>777</v>
      </c>
      <c r="E2335" s="676" t="s">
        <v>1113</v>
      </c>
      <c r="F2335" s="680" t="s">
        <v>3251</v>
      </c>
      <c r="G2335" s="710">
        <v>300</v>
      </c>
      <c r="H2335" s="682">
        <v>2520</v>
      </c>
      <c r="J2335" s="668" t="str">
        <f t="shared" si="405"/>
        <v>Purchased Professional and Technical Svcs</v>
      </c>
      <c r="L2335" s="668">
        <v>101</v>
      </c>
      <c r="M2335" s="669">
        <v>96</v>
      </c>
      <c r="N2335" s="668"/>
      <c r="O2335" s="668">
        <v>17</v>
      </c>
      <c r="P2335" s="668" t="str">
        <f>IFERROR(VLOOKUP(F2335, [2]MOE!B:C, 2, FALSE), "No")</f>
        <v>No</v>
      </c>
      <c r="Q2335" s="711"/>
      <c r="S2335" s="670" t="s">
        <v>3243</v>
      </c>
      <c r="T2335" s="668" t="s">
        <v>1113</v>
      </c>
    </row>
    <row r="2336" spans="1:20">
      <c r="A2336" s="671"/>
      <c r="B2336" s="672"/>
      <c r="C2336" s="672"/>
      <c r="D2336" s="672" t="s">
        <v>801</v>
      </c>
      <c r="E2336" s="676" t="s">
        <v>250</v>
      </c>
      <c r="F2336" s="675"/>
      <c r="G2336" s="672"/>
      <c r="H2336" s="676"/>
      <c r="Q2336" s="711"/>
      <c r="S2336" s="670"/>
    </row>
    <row r="2337" spans="1:20">
      <c r="A2337" s="679">
        <v>4302520</v>
      </c>
      <c r="B2337" s="672"/>
      <c r="C2337" s="672"/>
      <c r="D2337" s="672"/>
      <c r="E2337" s="676" t="s">
        <v>1115</v>
      </c>
      <c r="F2337" s="680" t="s">
        <v>3252</v>
      </c>
      <c r="G2337" s="710">
        <v>430</v>
      </c>
      <c r="H2337" s="682">
        <v>2520</v>
      </c>
      <c r="J2337" s="668" t="str">
        <f t="shared" ref="J2337:J2339" si="406">E2337</f>
        <v>(1) Repairs and Maintenance Services</v>
      </c>
      <c r="L2337" s="668">
        <v>107</v>
      </c>
      <c r="M2337" s="669">
        <v>102</v>
      </c>
      <c r="N2337" s="668"/>
      <c r="O2337" s="668">
        <v>17</v>
      </c>
      <c r="P2337" s="668" t="str">
        <f>IFERROR(VLOOKUP(F2337, [2]MOE!B:C, 2, FALSE), "No")</f>
        <v>No</v>
      </c>
      <c r="Q2337" s="711"/>
      <c r="S2337" s="670" t="s">
        <v>3243</v>
      </c>
      <c r="T2337" s="668" t="s">
        <v>1023</v>
      </c>
    </row>
    <row r="2338" spans="1:20">
      <c r="A2338" s="679">
        <v>4422520</v>
      </c>
      <c r="B2338" s="672"/>
      <c r="C2338" s="672"/>
      <c r="D2338" s="672"/>
      <c r="E2338" s="676" t="s">
        <v>1382</v>
      </c>
      <c r="F2338" s="680" t="s">
        <v>3253</v>
      </c>
      <c r="G2338" s="710">
        <v>442</v>
      </c>
      <c r="H2338" s="682">
        <v>2520</v>
      </c>
      <c r="J2338" s="668" t="str">
        <f t="shared" si="406"/>
        <v>(2) Rental of Equipment and Vehicles</v>
      </c>
      <c r="L2338" s="668">
        <v>106</v>
      </c>
      <c r="M2338" s="669">
        <v>101</v>
      </c>
      <c r="N2338" s="668"/>
      <c r="O2338" s="668">
        <v>17</v>
      </c>
      <c r="P2338" s="668" t="str">
        <f>IFERROR(VLOOKUP(F2338, [2]MOE!B:C, 2, FALSE), "No")</f>
        <v>No</v>
      </c>
      <c r="Q2338" s="711"/>
      <c r="S2338" s="670" t="s">
        <v>3243</v>
      </c>
      <c r="T2338" s="668" t="s">
        <v>1384</v>
      </c>
    </row>
    <row r="2339" spans="1:20">
      <c r="A2339" s="679">
        <v>4002520</v>
      </c>
      <c r="B2339" s="672"/>
      <c r="C2339" s="672"/>
      <c r="D2339" s="672"/>
      <c r="E2339" s="676" t="s">
        <v>1119</v>
      </c>
      <c r="F2339" s="680" t="s">
        <v>3254</v>
      </c>
      <c r="G2339" s="710">
        <v>400</v>
      </c>
      <c r="H2339" s="682">
        <v>2520</v>
      </c>
      <c r="J2339" s="668" t="str">
        <f t="shared" si="406"/>
        <v>(3) Other Purchased Property Services</v>
      </c>
      <c r="L2339" s="668">
        <v>108</v>
      </c>
      <c r="M2339" s="669">
        <v>103</v>
      </c>
      <c r="N2339" s="668"/>
      <c r="O2339" s="668">
        <v>17</v>
      </c>
      <c r="P2339" s="668" t="str">
        <f>IFERROR(VLOOKUP(F2339, [2]MOE!B:C, 2, FALSE), "No")</f>
        <v>No</v>
      </c>
      <c r="Q2339" s="711"/>
      <c r="S2339" s="670" t="s">
        <v>3243</v>
      </c>
      <c r="T2339" s="668" t="s">
        <v>1027</v>
      </c>
    </row>
    <row r="2340" spans="1:20">
      <c r="A2340" s="671"/>
      <c r="B2340" s="672"/>
      <c r="C2340" s="672"/>
      <c r="D2340" s="672" t="s">
        <v>805</v>
      </c>
      <c r="E2340" s="676" t="s">
        <v>252</v>
      </c>
      <c r="F2340" s="675"/>
      <c r="G2340" s="672"/>
      <c r="H2340" s="676"/>
      <c r="Q2340" s="711"/>
      <c r="S2340" s="670"/>
    </row>
    <row r="2341" spans="1:20">
      <c r="A2341" s="679">
        <v>5302520</v>
      </c>
      <c r="B2341" s="672"/>
      <c r="C2341" s="672"/>
      <c r="D2341" s="672"/>
      <c r="E2341" s="676" t="s">
        <v>3105</v>
      </c>
      <c r="F2341" s="680" t="s">
        <v>3255</v>
      </c>
      <c r="G2341" s="710">
        <v>530</v>
      </c>
      <c r="H2341" s="682">
        <v>2520</v>
      </c>
      <c r="J2341" s="668" t="str">
        <f t="shared" ref="J2341:J2344" si="407">E2341</f>
        <v>(1) Communications (phone/internet/post)</v>
      </c>
      <c r="L2341" s="668">
        <v>119</v>
      </c>
      <c r="M2341" s="669">
        <v>110</v>
      </c>
      <c r="N2341" s="668"/>
      <c r="O2341" s="668">
        <v>17</v>
      </c>
      <c r="P2341" s="668" t="str">
        <f>IFERROR(VLOOKUP(F2341, [2]MOE!B:C, 2, FALSE), "No")</f>
        <v>No</v>
      </c>
      <c r="Q2341" s="711"/>
      <c r="S2341" s="670" t="s">
        <v>3243</v>
      </c>
      <c r="T2341" s="668" t="s">
        <v>3020</v>
      </c>
    </row>
    <row r="2342" spans="1:20">
      <c r="A2342" s="679">
        <v>5402520</v>
      </c>
      <c r="B2342" s="672"/>
      <c r="C2342" s="672"/>
      <c r="D2342" s="672"/>
      <c r="E2342" s="676" t="s">
        <v>3214</v>
      </c>
      <c r="F2342" s="680" t="s">
        <v>3256</v>
      </c>
      <c r="G2342" s="710">
        <v>540</v>
      </c>
      <c r="H2342" s="682">
        <v>2520</v>
      </c>
      <c r="J2342" s="668" t="str">
        <f t="shared" si="407"/>
        <v>(2) Advertising and Public Notices</v>
      </c>
      <c r="L2342" s="668">
        <v>119</v>
      </c>
      <c r="M2342" s="669">
        <v>110</v>
      </c>
      <c r="N2342" s="668"/>
      <c r="O2342" s="668">
        <v>17</v>
      </c>
      <c r="P2342" s="668" t="str">
        <f>IFERROR(VLOOKUP(F2342, [2]MOE!B:C, 2, FALSE), "No")</f>
        <v>No</v>
      </c>
      <c r="Q2342" s="711"/>
      <c r="S2342" s="670" t="s">
        <v>3243</v>
      </c>
      <c r="T2342" s="668" t="s">
        <v>3216</v>
      </c>
    </row>
    <row r="2343" spans="1:20">
      <c r="A2343" s="679">
        <v>5822520</v>
      </c>
      <c r="B2343" s="672"/>
      <c r="C2343" s="672"/>
      <c r="D2343" s="672"/>
      <c r="E2343" s="676" t="s">
        <v>1393</v>
      </c>
      <c r="F2343" s="680" t="s">
        <v>3257</v>
      </c>
      <c r="G2343" s="710">
        <v>582</v>
      </c>
      <c r="H2343" s="682">
        <v>2520</v>
      </c>
      <c r="J2343" s="668" t="str">
        <f t="shared" si="407"/>
        <v>(3) Travel Expense Reimbursement</v>
      </c>
      <c r="L2343" s="668">
        <v>118</v>
      </c>
      <c r="M2343" s="669">
        <v>109</v>
      </c>
      <c r="N2343" s="668"/>
      <c r="O2343" s="668">
        <v>17</v>
      </c>
      <c r="P2343" s="668" t="str">
        <f>IFERROR(VLOOKUP(F2343, [2]MOE!B:C, 2, FALSE), "No")</f>
        <v>No</v>
      </c>
      <c r="Q2343" s="711"/>
      <c r="S2343" s="670" t="s">
        <v>3243</v>
      </c>
      <c r="T2343" s="668" t="s">
        <v>1039</v>
      </c>
    </row>
    <row r="2344" spans="1:20">
      <c r="A2344" s="679">
        <v>5002520</v>
      </c>
      <c r="B2344" s="672"/>
      <c r="C2344" s="672"/>
      <c r="D2344" s="672"/>
      <c r="E2344" s="676" t="s">
        <v>1395</v>
      </c>
      <c r="F2344" s="680" t="s">
        <v>3258</v>
      </c>
      <c r="G2344" s="710">
        <v>500</v>
      </c>
      <c r="H2344" s="682">
        <v>2520</v>
      </c>
      <c r="J2344" s="668" t="str">
        <f t="shared" si="407"/>
        <v>(4) Other Purchased Services</v>
      </c>
      <c r="L2344" s="668">
        <v>119</v>
      </c>
      <c r="M2344" s="669">
        <v>110</v>
      </c>
      <c r="N2344" s="668"/>
      <c r="O2344" s="668">
        <v>17</v>
      </c>
      <c r="P2344" s="668" t="str">
        <f>IFERROR(VLOOKUP(F2344, [2]MOE!B:C, 2, FALSE), "No")</f>
        <v>No</v>
      </c>
      <c r="Q2344" s="711"/>
      <c r="S2344" s="670" t="s">
        <v>3243</v>
      </c>
      <c r="T2344" s="668" t="s">
        <v>252</v>
      </c>
    </row>
    <row r="2345" spans="1:20">
      <c r="A2345" s="671"/>
      <c r="B2345" s="672"/>
      <c r="C2345" s="672"/>
      <c r="D2345" s="672" t="s">
        <v>850</v>
      </c>
      <c r="E2345" s="676" t="s">
        <v>254</v>
      </c>
      <c r="F2345" s="675"/>
      <c r="G2345" s="672"/>
      <c r="H2345" s="676"/>
      <c r="Q2345" s="711"/>
      <c r="S2345" s="670"/>
    </row>
    <row r="2346" spans="1:20">
      <c r="A2346" s="679">
        <v>6152520</v>
      </c>
      <c r="B2346" s="672"/>
      <c r="C2346" s="672"/>
      <c r="D2346" s="672"/>
      <c r="E2346" s="676" t="s">
        <v>1139</v>
      </c>
      <c r="F2346" s="680" t="s">
        <v>3259</v>
      </c>
      <c r="G2346" s="710">
        <v>615</v>
      </c>
      <c r="H2346" s="682">
        <v>2520</v>
      </c>
      <c r="J2346" s="668" t="str">
        <f t="shared" ref="J2346:J2348" si="408">E2346</f>
        <v>(1) Technology-Related Supplies</v>
      </c>
      <c r="L2346" s="668">
        <v>126</v>
      </c>
      <c r="M2346" s="669">
        <v>117</v>
      </c>
      <c r="N2346" s="668"/>
      <c r="O2346" s="668">
        <v>17</v>
      </c>
      <c r="P2346" s="668" t="str">
        <f>IFERROR(VLOOKUP(F2346, [2]MOE!B:C, 2, FALSE), "No")</f>
        <v>No</v>
      </c>
      <c r="Q2346" s="711" t="s">
        <v>1045</v>
      </c>
      <c r="S2346" s="670" t="s">
        <v>3243</v>
      </c>
      <c r="T2346" s="668" t="s">
        <v>1043</v>
      </c>
    </row>
    <row r="2347" spans="1:20">
      <c r="A2347" s="679">
        <v>6102520</v>
      </c>
      <c r="B2347" s="672"/>
      <c r="C2347" s="672"/>
      <c r="D2347" s="672"/>
      <c r="E2347" s="676" t="s">
        <v>1141</v>
      </c>
      <c r="F2347" s="680" t="s">
        <v>3260</v>
      </c>
      <c r="G2347" s="710">
        <v>610</v>
      </c>
      <c r="H2347" s="682">
        <v>2520</v>
      </c>
      <c r="J2347" s="668" t="str">
        <f t="shared" si="408"/>
        <v>(2) Materials and Supplies</v>
      </c>
      <c r="L2347" s="668">
        <v>122</v>
      </c>
      <c r="M2347" s="669">
        <v>113</v>
      </c>
      <c r="N2347" s="668"/>
      <c r="O2347" s="668">
        <v>17</v>
      </c>
      <c r="P2347" s="668" t="str">
        <f>IFERROR(VLOOKUP(F2347, [2]MOE!B:C, 2, FALSE), "No")</f>
        <v>No</v>
      </c>
      <c r="Q2347" s="711" t="s">
        <v>1045</v>
      </c>
      <c r="S2347" s="670" t="s">
        <v>3243</v>
      </c>
      <c r="T2347" s="668" t="s">
        <v>39</v>
      </c>
    </row>
    <row r="2348" spans="1:20">
      <c r="A2348" s="679">
        <v>6002520</v>
      </c>
      <c r="B2348" s="672"/>
      <c r="C2348" s="672"/>
      <c r="D2348" s="672"/>
      <c r="E2348" s="676" t="s">
        <v>1870</v>
      </c>
      <c r="F2348" s="680" t="s">
        <v>3261</v>
      </c>
      <c r="G2348" s="710">
        <v>600</v>
      </c>
      <c r="H2348" s="682">
        <v>2520</v>
      </c>
      <c r="J2348" s="668" t="str">
        <f t="shared" si="408"/>
        <v>(3) Other Supplies</v>
      </c>
      <c r="L2348" s="668">
        <v>126</v>
      </c>
      <c r="M2348" s="669">
        <v>117</v>
      </c>
      <c r="N2348" s="668"/>
      <c r="O2348" s="668">
        <v>17</v>
      </c>
      <c r="P2348" s="668" t="str">
        <f>IFERROR(VLOOKUP(F2348, [2]MOE!B:C, 2, FALSE), "No")</f>
        <v>No</v>
      </c>
      <c r="Q2348" s="711"/>
      <c r="S2348" s="670" t="s">
        <v>3243</v>
      </c>
      <c r="T2348" s="668" t="s">
        <v>1050</v>
      </c>
    </row>
    <row r="2349" spans="1:20">
      <c r="A2349" s="671"/>
      <c r="B2349" s="672"/>
      <c r="C2349" s="672"/>
      <c r="D2349" s="672" t="s">
        <v>853</v>
      </c>
      <c r="E2349" s="676" t="s">
        <v>1052</v>
      </c>
      <c r="F2349" s="675"/>
      <c r="G2349" s="672"/>
      <c r="H2349" s="676"/>
      <c r="Q2349" s="711"/>
      <c r="S2349" s="670"/>
    </row>
    <row r="2350" spans="1:20">
      <c r="A2350" s="679">
        <v>7342520</v>
      </c>
      <c r="B2350" s="672"/>
      <c r="C2350" s="672"/>
      <c r="D2350" s="672"/>
      <c r="E2350" s="676" t="s">
        <v>1147</v>
      </c>
      <c r="F2350" s="680" t="s">
        <v>3262</v>
      </c>
      <c r="G2350" s="710">
        <v>734</v>
      </c>
      <c r="H2350" s="682">
        <v>2520</v>
      </c>
      <c r="J2350" s="668" t="str">
        <f t="shared" ref="J2350:J2354" si="409">E2350</f>
        <v>(1) Technology-Related Hardware</v>
      </c>
      <c r="L2350" s="668">
        <v>131</v>
      </c>
      <c r="M2350" s="669">
        <v>122</v>
      </c>
      <c r="N2350" s="668"/>
      <c r="O2350" s="668">
        <v>17</v>
      </c>
      <c r="P2350" s="668" t="str">
        <f>IFERROR(VLOOKUP(F2350, [2]MOE!B:C, 2, FALSE), "No")</f>
        <v>No</v>
      </c>
      <c r="Q2350" s="711"/>
      <c r="S2350" s="670" t="s">
        <v>3243</v>
      </c>
      <c r="T2350" s="668" t="s">
        <v>1053</v>
      </c>
    </row>
    <row r="2351" spans="1:20">
      <c r="A2351" s="679">
        <v>7352520</v>
      </c>
      <c r="B2351" s="672"/>
      <c r="C2351" s="672"/>
      <c r="D2351" s="672"/>
      <c r="E2351" s="676" t="s">
        <v>1149</v>
      </c>
      <c r="F2351" s="680" t="s">
        <v>3263</v>
      </c>
      <c r="G2351" s="710">
        <v>735</v>
      </c>
      <c r="H2351" s="682">
        <v>2520</v>
      </c>
      <c r="J2351" s="668" t="str">
        <f t="shared" si="409"/>
        <v>(2) Technology Software</v>
      </c>
      <c r="L2351" s="668">
        <v>131</v>
      </c>
      <c r="M2351" s="669">
        <v>122</v>
      </c>
      <c r="N2351" s="668"/>
      <c r="O2351" s="668">
        <v>17</v>
      </c>
      <c r="P2351" s="668" t="str">
        <f>IFERROR(VLOOKUP(F2351, [2]MOE!B:C, 2, FALSE), "No")</f>
        <v>No</v>
      </c>
      <c r="Q2351" s="711"/>
      <c r="S2351" s="670" t="s">
        <v>3243</v>
      </c>
      <c r="T2351" s="668" t="s">
        <v>1055</v>
      </c>
    </row>
    <row r="2352" spans="1:20">
      <c r="A2352" s="679">
        <v>7302520</v>
      </c>
      <c r="B2352" s="672"/>
      <c r="C2352" s="672"/>
      <c r="D2352" s="672"/>
      <c r="E2352" s="676" t="s">
        <v>1151</v>
      </c>
      <c r="F2352" s="680" t="s">
        <v>3264</v>
      </c>
      <c r="G2352" s="710">
        <v>730</v>
      </c>
      <c r="H2352" s="682">
        <v>2520</v>
      </c>
      <c r="J2352" s="668" t="str">
        <f t="shared" si="409"/>
        <v>(3) All Other Equipment</v>
      </c>
      <c r="L2352" s="668">
        <v>131</v>
      </c>
      <c r="M2352" s="669">
        <v>122</v>
      </c>
      <c r="N2352" s="668"/>
      <c r="O2352" s="668">
        <v>17</v>
      </c>
      <c r="P2352" s="668" t="str">
        <f>IFERROR(VLOOKUP(F2352, [2]MOE!B:C, 2, FALSE), "No")</f>
        <v>No</v>
      </c>
      <c r="Q2352" s="711"/>
      <c r="S2352" s="670" t="s">
        <v>3243</v>
      </c>
      <c r="T2352" s="668" t="s">
        <v>1057</v>
      </c>
    </row>
    <row r="2353" spans="1:20">
      <c r="A2353" s="679">
        <v>7002520</v>
      </c>
      <c r="B2353" s="672"/>
      <c r="C2353" s="672"/>
      <c r="D2353" s="672"/>
      <c r="E2353" s="676" t="s">
        <v>1153</v>
      </c>
      <c r="F2353" s="680" t="s">
        <v>3265</v>
      </c>
      <c r="G2353" s="710">
        <v>700</v>
      </c>
      <c r="H2353" s="682">
        <v>2520</v>
      </c>
      <c r="J2353" s="668" t="str">
        <f t="shared" si="409"/>
        <v>(4) Other Property</v>
      </c>
      <c r="L2353" s="668">
        <v>132</v>
      </c>
      <c r="M2353" s="669">
        <v>123</v>
      </c>
      <c r="N2353" s="668"/>
      <c r="O2353" s="668">
        <v>17</v>
      </c>
      <c r="P2353" s="668" t="str">
        <f>IFERROR(VLOOKUP(F2353, [2]MOE!B:C, 2, FALSE), "No")</f>
        <v>No</v>
      </c>
      <c r="Q2353" s="711"/>
      <c r="S2353" s="670" t="s">
        <v>3243</v>
      </c>
      <c r="T2353" s="668" t="s">
        <v>1059</v>
      </c>
    </row>
    <row r="2354" spans="1:20">
      <c r="A2354" s="679">
        <v>8002520</v>
      </c>
      <c r="B2354" s="672"/>
      <c r="C2354" s="672"/>
      <c r="D2354" s="672" t="s">
        <v>856</v>
      </c>
      <c r="E2354" s="676" t="s">
        <v>3071</v>
      </c>
      <c r="F2354" s="680" t="s">
        <v>3266</v>
      </c>
      <c r="G2354" s="710">
        <v>800</v>
      </c>
      <c r="H2354" s="682">
        <v>2520</v>
      </c>
      <c r="J2354" s="668" t="str">
        <f t="shared" si="409"/>
        <v>Miscellaneous Expenditures</v>
      </c>
      <c r="L2354" s="668">
        <v>139</v>
      </c>
      <c r="M2354" s="669">
        <v>129</v>
      </c>
      <c r="N2354" s="668"/>
      <c r="O2354" s="668">
        <v>17</v>
      </c>
      <c r="P2354" s="668" t="str">
        <f>IFERROR(VLOOKUP(F2354, [2]MOE!B:C, 2, FALSE), "No")</f>
        <v>No</v>
      </c>
      <c r="Q2354" s="711"/>
      <c r="S2354" s="670" t="s">
        <v>3243</v>
      </c>
      <c r="T2354" s="668" t="s">
        <v>3071</v>
      </c>
    </row>
    <row r="2355" spans="1:20">
      <c r="A2355" s="671"/>
      <c r="B2355" s="672"/>
      <c r="C2355" s="672"/>
      <c r="D2355" s="672" t="s">
        <v>859</v>
      </c>
      <c r="E2355" s="676" t="s">
        <v>1065</v>
      </c>
      <c r="F2355" s="675"/>
      <c r="G2355" s="672"/>
      <c r="H2355" s="676"/>
      <c r="Q2355" s="711"/>
      <c r="S2355" s="670"/>
    </row>
    <row r="2356" spans="1:20">
      <c r="A2356" s="679">
        <v>2102520</v>
      </c>
      <c r="B2356" s="672"/>
      <c r="C2356" s="672"/>
      <c r="D2356" s="672"/>
      <c r="E2356" s="676" t="s">
        <v>1159</v>
      </c>
      <c r="F2356" s="680" t="s">
        <v>3267</v>
      </c>
      <c r="G2356" s="710">
        <v>210</v>
      </c>
      <c r="H2356" s="682">
        <v>2520</v>
      </c>
      <c r="J2356" s="668" t="str">
        <f t="shared" ref="J2356:J2358" si="410">E2356</f>
        <v>(1) Group Insurance</v>
      </c>
      <c r="L2356" s="668">
        <v>89</v>
      </c>
      <c r="M2356" s="669">
        <v>84</v>
      </c>
      <c r="N2356" s="668"/>
      <c r="O2356" s="668">
        <v>17</v>
      </c>
      <c r="P2356" s="668" t="str">
        <f>IFERROR(VLOOKUP(F2356, [2]MOE!B:C, 2, FALSE), "No")</f>
        <v>No</v>
      </c>
      <c r="Q2356" s="711"/>
      <c r="S2356" s="670" t="s">
        <v>3243</v>
      </c>
      <c r="T2356" s="668" t="s">
        <v>1066</v>
      </c>
    </row>
    <row r="2357" spans="1:20">
      <c r="A2357" s="679">
        <v>2202520</v>
      </c>
      <c r="B2357" s="672"/>
      <c r="C2357" s="672"/>
      <c r="D2357" s="672"/>
      <c r="E2357" s="676" t="s">
        <v>1161</v>
      </c>
      <c r="F2357" s="680" t="s">
        <v>3268</v>
      </c>
      <c r="G2357" s="710">
        <v>220</v>
      </c>
      <c r="H2357" s="682">
        <v>2520</v>
      </c>
      <c r="J2357" s="668" t="str">
        <f t="shared" si="410"/>
        <v>(2) FICA</v>
      </c>
      <c r="L2357" s="668">
        <v>90</v>
      </c>
      <c r="M2357" s="669">
        <v>85</v>
      </c>
      <c r="N2357" s="668"/>
      <c r="O2357" s="668">
        <v>17</v>
      </c>
      <c r="P2357" s="668" t="str">
        <f>IFERROR(VLOOKUP(F2357, [2]MOE!B:C, 2, FALSE), "No")</f>
        <v>No</v>
      </c>
      <c r="Q2357" s="711"/>
      <c r="S2357" s="670" t="s">
        <v>3243</v>
      </c>
      <c r="T2357" s="668" t="s">
        <v>1068</v>
      </c>
    </row>
    <row r="2358" spans="1:20">
      <c r="A2358" s="679">
        <v>2252520</v>
      </c>
      <c r="B2358" s="672"/>
      <c r="C2358" s="672"/>
      <c r="D2358" s="672"/>
      <c r="E2358" s="676" t="s">
        <v>1163</v>
      </c>
      <c r="F2358" s="680" t="s">
        <v>3269</v>
      </c>
      <c r="G2358" s="710">
        <v>225</v>
      </c>
      <c r="H2358" s="682">
        <v>2520</v>
      </c>
      <c r="J2358" s="668" t="str">
        <f t="shared" si="410"/>
        <v>(3) Medicare</v>
      </c>
      <c r="L2358" s="668">
        <v>91</v>
      </c>
      <c r="M2358" s="669">
        <v>86</v>
      </c>
      <c r="N2358" s="668"/>
      <c r="O2358" s="668">
        <v>17</v>
      </c>
      <c r="P2358" s="668" t="str">
        <f>IFERROR(VLOOKUP(F2358, [2]MOE!B:C, 2, FALSE), "No")</f>
        <v>No</v>
      </c>
      <c r="Q2358" s="711"/>
      <c r="S2358" s="670" t="s">
        <v>3243</v>
      </c>
      <c r="T2358" s="668" t="s">
        <v>23</v>
      </c>
    </row>
    <row r="2359" spans="1:20">
      <c r="A2359" s="671"/>
      <c r="B2359" s="672"/>
      <c r="C2359" s="672"/>
      <c r="D2359" s="672"/>
      <c r="E2359" s="676" t="s">
        <v>1165</v>
      </c>
      <c r="F2359" s="675"/>
      <c r="G2359" s="672"/>
      <c r="H2359" s="676"/>
      <c r="Q2359" s="711"/>
      <c r="S2359" s="670"/>
    </row>
    <row r="2360" spans="1:20">
      <c r="A2360" s="679">
        <v>2312520</v>
      </c>
      <c r="B2360" s="672"/>
      <c r="C2360" s="672"/>
      <c r="D2360" s="672"/>
      <c r="E2360" s="676" t="s">
        <v>1166</v>
      </c>
      <c r="F2360" s="680" t="s">
        <v>3270</v>
      </c>
      <c r="G2360" s="710">
        <v>231</v>
      </c>
      <c r="H2360" s="682">
        <v>2520</v>
      </c>
      <c r="J2360" s="668" t="str">
        <f t="shared" ref="J2360:J2368" si="411">E2360</f>
        <v>(a) Louisiana Teachers Retirement</v>
      </c>
      <c r="L2360" s="668">
        <v>92</v>
      </c>
      <c r="M2360" s="669">
        <v>87</v>
      </c>
      <c r="N2360" s="668"/>
      <c r="O2360" s="668">
        <v>17</v>
      </c>
      <c r="P2360" s="668" t="str">
        <f>IFERROR(VLOOKUP(F2360, [2]MOE!B:C, 2, FALSE), "No")</f>
        <v>No</v>
      </c>
      <c r="Q2360" s="711"/>
      <c r="S2360" s="670" t="s">
        <v>3243</v>
      </c>
      <c r="T2360" s="668" t="s">
        <v>1074</v>
      </c>
    </row>
    <row r="2361" spans="1:20">
      <c r="A2361" s="679">
        <v>2332520</v>
      </c>
      <c r="B2361" s="672"/>
      <c r="C2361" s="672"/>
      <c r="D2361" s="672"/>
      <c r="E2361" s="676" t="s">
        <v>1168</v>
      </c>
      <c r="F2361" s="680" t="s">
        <v>3271</v>
      </c>
      <c r="G2361" s="710">
        <v>233</v>
      </c>
      <c r="H2361" s="682">
        <v>2520</v>
      </c>
      <c r="J2361" s="668" t="str">
        <f t="shared" si="411"/>
        <v>(b) Louisiana School Emp. Retirement</v>
      </c>
      <c r="L2361" s="668">
        <v>92</v>
      </c>
      <c r="M2361" s="669">
        <v>87</v>
      </c>
      <c r="N2361" s="668"/>
      <c r="O2361" s="668">
        <v>17</v>
      </c>
      <c r="P2361" s="668" t="str">
        <f>IFERROR(VLOOKUP(F2361, [2]MOE!B:C, 2, FALSE), "No")</f>
        <v>No</v>
      </c>
      <c r="Q2361" s="711"/>
      <c r="S2361" s="670" t="s">
        <v>3243</v>
      </c>
      <c r="T2361" s="668" t="s">
        <v>1170</v>
      </c>
    </row>
    <row r="2362" spans="1:20">
      <c r="A2362" s="679">
        <v>2392520</v>
      </c>
      <c r="B2362" s="672"/>
      <c r="C2362" s="672"/>
      <c r="D2362" s="672"/>
      <c r="E2362" s="676" t="s">
        <v>1171</v>
      </c>
      <c r="F2362" s="680" t="s">
        <v>3272</v>
      </c>
      <c r="G2362" s="710">
        <v>239</v>
      </c>
      <c r="H2362" s="682">
        <v>2520</v>
      </c>
      <c r="J2362" s="668" t="str">
        <f t="shared" si="411"/>
        <v>(c) Other Retirement</v>
      </c>
      <c r="L2362" s="668">
        <v>92</v>
      </c>
      <c r="M2362" s="669">
        <v>87</v>
      </c>
      <c r="N2362" s="668"/>
      <c r="O2362" s="668">
        <v>17</v>
      </c>
      <c r="P2362" s="668" t="str">
        <f>IFERROR(VLOOKUP(F2362, [2]MOE!B:C, 2, FALSE), "No")</f>
        <v>No</v>
      </c>
      <c r="Q2362" s="711"/>
      <c r="S2362" s="670" t="s">
        <v>3243</v>
      </c>
      <c r="T2362" s="668" t="s">
        <v>1080</v>
      </c>
    </row>
    <row r="2363" spans="1:20">
      <c r="A2363" s="679">
        <v>2502520</v>
      </c>
      <c r="B2363" s="672"/>
      <c r="C2363" s="672"/>
      <c r="D2363" s="672"/>
      <c r="E2363" s="676" t="s">
        <v>1173</v>
      </c>
      <c r="F2363" s="680" t="s">
        <v>3273</v>
      </c>
      <c r="G2363" s="710">
        <v>250</v>
      </c>
      <c r="H2363" s="682">
        <v>2520</v>
      </c>
      <c r="J2363" s="668" t="str">
        <f t="shared" si="411"/>
        <v>(5) Unemployment Compensation</v>
      </c>
      <c r="L2363" s="668">
        <v>93</v>
      </c>
      <c r="M2363" s="669">
        <v>88</v>
      </c>
      <c r="N2363" s="668"/>
      <c r="O2363" s="668">
        <v>17</v>
      </c>
      <c r="P2363" s="668" t="str">
        <f>IFERROR(VLOOKUP(F2363, [2]MOE!B:C, 2, FALSE), "No")</f>
        <v>No</v>
      </c>
      <c r="Q2363" s="711"/>
      <c r="S2363" s="670" t="s">
        <v>3243</v>
      </c>
      <c r="T2363" s="668" t="s">
        <v>1081</v>
      </c>
    </row>
    <row r="2364" spans="1:20">
      <c r="A2364" s="679">
        <v>2602520</v>
      </c>
      <c r="B2364" s="672"/>
      <c r="C2364" s="672"/>
      <c r="D2364" s="672"/>
      <c r="E2364" s="676" t="s">
        <v>1175</v>
      </c>
      <c r="F2364" s="680" t="s">
        <v>3274</v>
      </c>
      <c r="G2364" s="710">
        <v>260</v>
      </c>
      <c r="H2364" s="682">
        <v>2520</v>
      </c>
      <c r="J2364" s="668" t="str">
        <f t="shared" si="411"/>
        <v>(6) Workmen's Compensation</v>
      </c>
      <c r="L2364" s="668">
        <v>95</v>
      </c>
      <c r="M2364" s="669">
        <v>90</v>
      </c>
      <c r="N2364" s="668"/>
      <c r="O2364" s="668">
        <v>17</v>
      </c>
      <c r="P2364" s="668" t="str">
        <f>IFERROR(VLOOKUP(F2364, [2]MOE!B:C, 2, FALSE), "No")</f>
        <v>No</v>
      </c>
      <c r="Q2364" s="711"/>
      <c r="S2364" s="670" t="s">
        <v>3243</v>
      </c>
      <c r="T2364" s="668" t="s">
        <v>1083</v>
      </c>
    </row>
    <row r="2365" spans="1:20">
      <c r="A2365" s="679">
        <v>2702520</v>
      </c>
      <c r="B2365" s="672"/>
      <c r="C2365" s="672"/>
      <c r="D2365" s="672"/>
      <c r="E2365" s="676" t="s">
        <v>1177</v>
      </c>
      <c r="F2365" s="680" t="s">
        <v>3275</v>
      </c>
      <c r="G2365" s="710">
        <v>270</v>
      </c>
      <c r="H2365" s="682">
        <v>2520</v>
      </c>
      <c r="J2365" s="668" t="str">
        <f t="shared" si="411"/>
        <v>(7) Health Benefits (retirees)</v>
      </c>
      <c r="L2365" s="668">
        <v>94</v>
      </c>
      <c r="M2365" s="669">
        <v>89</v>
      </c>
      <c r="N2365" s="668"/>
      <c r="O2365" s="668">
        <v>17</v>
      </c>
      <c r="P2365" s="668" t="str">
        <f>IFERROR(VLOOKUP(F2365, [2]MOE!B:C, 2, FALSE), "No")</f>
        <v>No</v>
      </c>
      <c r="Q2365" s="711"/>
      <c r="S2365" s="670" t="s">
        <v>3243</v>
      </c>
      <c r="T2365" s="668" t="s">
        <v>1085</v>
      </c>
    </row>
    <row r="2366" spans="1:20">
      <c r="A2366" s="679">
        <v>2812520</v>
      </c>
      <c r="B2366" s="672"/>
      <c r="C2366" s="672"/>
      <c r="D2366" s="672"/>
      <c r="E2366" s="676" t="s">
        <v>1179</v>
      </c>
      <c r="F2366" s="680" t="s">
        <v>3276</v>
      </c>
      <c r="G2366" s="710">
        <v>281</v>
      </c>
      <c r="H2366" s="682">
        <v>2520</v>
      </c>
      <c r="J2366" s="668" t="str">
        <f t="shared" si="411"/>
        <v>(8) Sick Leave Severance Pay</v>
      </c>
      <c r="L2366" s="668">
        <v>95</v>
      </c>
      <c r="M2366" s="669">
        <v>90</v>
      </c>
      <c r="N2366" s="668"/>
      <c r="O2366" s="668">
        <v>17</v>
      </c>
      <c r="P2366" s="668" t="str">
        <f>IFERROR(VLOOKUP(F2366, [2]MOE!B:C, 2, FALSE), "No")</f>
        <v>No</v>
      </c>
      <c r="Q2366" s="711"/>
      <c r="S2366" s="670" t="s">
        <v>3243</v>
      </c>
      <c r="T2366" s="668" t="s">
        <v>1087</v>
      </c>
    </row>
    <row r="2367" spans="1:20">
      <c r="A2367" s="679">
        <v>2822520</v>
      </c>
      <c r="B2367" s="672"/>
      <c r="C2367" s="672"/>
      <c r="D2367" s="672"/>
      <c r="E2367" s="676" t="s">
        <v>1181</v>
      </c>
      <c r="F2367" s="680" t="s">
        <v>3277</v>
      </c>
      <c r="G2367" s="710">
        <v>282</v>
      </c>
      <c r="H2367" s="682">
        <v>2520</v>
      </c>
      <c r="J2367" s="668" t="str">
        <f t="shared" si="411"/>
        <v>(9) Annual Leave Severance Pay</v>
      </c>
      <c r="L2367" s="668">
        <v>95</v>
      </c>
      <c r="M2367" s="669">
        <v>90</v>
      </c>
      <c r="N2367" s="668"/>
      <c r="O2367" s="668">
        <v>17</v>
      </c>
      <c r="P2367" s="668" t="str">
        <f>IFERROR(VLOOKUP(F2367, [2]MOE!B:C, 2, FALSE), "No")</f>
        <v>No</v>
      </c>
      <c r="Q2367" s="711"/>
      <c r="S2367" s="670" t="s">
        <v>3243</v>
      </c>
      <c r="T2367" s="668" t="s">
        <v>1089</v>
      </c>
    </row>
    <row r="2368" spans="1:20">
      <c r="A2368" s="679">
        <v>2902520</v>
      </c>
      <c r="B2368" s="672"/>
      <c r="C2368" s="672"/>
      <c r="D2368" s="672"/>
      <c r="E2368" s="676" t="s">
        <v>1183</v>
      </c>
      <c r="F2368" s="680" t="s">
        <v>3278</v>
      </c>
      <c r="G2368" s="710">
        <v>290</v>
      </c>
      <c r="H2368" s="682">
        <v>2520</v>
      </c>
      <c r="J2368" s="668" t="str">
        <f t="shared" si="411"/>
        <v>(10) Other Employee Benefits</v>
      </c>
      <c r="L2368" s="668">
        <v>95</v>
      </c>
      <c r="M2368" s="669">
        <v>90</v>
      </c>
      <c r="N2368" s="668"/>
      <c r="O2368" s="668">
        <v>17</v>
      </c>
      <c r="P2368" s="668" t="str">
        <f>IFERROR(VLOOKUP(F2368, [2]MOE!B:C, 2, FALSE), "No")</f>
        <v>No</v>
      </c>
      <c r="Q2368" s="711"/>
      <c r="S2368" s="670" t="s">
        <v>3243</v>
      </c>
      <c r="T2368" s="668" t="s">
        <v>1092</v>
      </c>
    </row>
    <row r="2369" spans="1:20">
      <c r="A2369" s="671"/>
      <c r="B2369" s="672"/>
      <c r="C2369" s="678">
        <v>72</v>
      </c>
      <c r="D2369" s="925" t="s">
        <v>3279</v>
      </c>
      <c r="E2369" s="926"/>
      <c r="F2369" s="675"/>
      <c r="G2369" s="672"/>
      <c r="H2369" s="676"/>
      <c r="Q2369" s="711"/>
      <c r="S2369" s="670"/>
    </row>
    <row r="2370" spans="1:20">
      <c r="A2370" s="671"/>
      <c r="B2370" s="672"/>
      <c r="C2370" s="672"/>
      <c r="D2370" s="672" t="s">
        <v>759</v>
      </c>
      <c r="E2370" s="676" t="s">
        <v>244</v>
      </c>
      <c r="F2370" s="675"/>
      <c r="G2370" s="672"/>
      <c r="H2370" s="676"/>
      <c r="Q2370" s="711"/>
      <c r="S2370" s="670"/>
    </row>
    <row r="2371" spans="1:20">
      <c r="A2371" s="679">
        <v>1112530</v>
      </c>
      <c r="B2371" s="672"/>
      <c r="C2371" s="672"/>
      <c r="D2371" s="672"/>
      <c r="E2371" s="676" t="s">
        <v>1845</v>
      </c>
      <c r="F2371" s="680" t="s">
        <v>3280</v>
      </c>
      <c r="G2371" s="710">
        <v>111</v>
      </c>
      <c r="H2371" s="682">
        <v>2530</v>
      </c>
      <c r="J2371" s="668" t="str">
        <f t="shared" ref="J2371:J2374" si="412">E2371</f>
        <v>(1) Supervisors</v>
      </c>
      <c r="L2371" s="668">
        <v>81</v>
      </c>
      <c r="M2371" s="669">
        <v>76</v>
      </c>
      <c r="N2371" s="668"/>
      <c r="O2371" s="668">
        <v>17</v>
      </c>
      <c r="P2371" s="668" t="str">
        <f>IFERROR(VLOOKUP(F2371, [2]MOE!B:C, 2, FALSE), "No")</f>
        <v>No</v>
      </c>
      <c r="Q2371" s="711"/>
      <c r="S2371" s="670" t="s">
        <v>3279</v>
      </c>
      <c r="T2371" s="668" t="s">
        <v>1848</v>
      </c>
    </row>
    <row r="2372" spans="1:20">
      <c r="A2372" s="679">
        <v>1142530</v>
      </c>
      <c r="B2372" s="672"/>
      <c r="C2372" s="672"/>
      <c r="D2372" s="672"/>
      <c r="E2372" s="676" t="s">
        <v>3197</v>
      </c>
      <c r="F2372" s="680" t="s">
        <v>3281</v>
      </c>
      <c r="G2372" s="710">
        <v>114</v>
      </c>
      <c r="H2372" s="682">
        <v>2530</v>
      </c>
      <c r="J2372" s="668" t="str">
        <f t="shared" si="412"/>
        <v>(2) Clerical/Secretarial</v>
      </c>
      <c r="L2372" s="668">
        <v>84</v>
      </c>
      <c r="M2372" s="669">
        <v>79</v>
      </c>
      <c r="N2372" s="668"/>
      <c r="O2372" s="668">
        <v>17</v>
      </c>
      <c r="P2372" s="668" t="str">
        <f>IFERROR(VLOOKUP(F2372, [2]MOE!B:C, 2, FALSE), "No")</f>
        <v>No</v>
      </c>
      <c r="Q2372" s="711"/>
      <c r="S2372" s="670" t="s">
        <v>3279</v>
      </c>
      <c r="T2372" s="668" t="s">
        <v>1854</v>
      </c>
    </row>
    <row r="2373" spans="1:20">
      <c r="A2373" s="679">
        <v>1002530</v>
      </c>
      <c r="B2373" s="672"/>
      <c r="C2373" s="672"/>
      <c r="D2373" s="672"/>
      <c r="E2373" s="676" t="s">
        <v>3282</v>
      </c>
      <c r="F2373" s="680" t="s">
        <v>3283</v>
      </c>
      <c r="G2373" s="710">
        <v>100</v>
      </c>
      <c r="H2373" s="682">
        <v>2530</v>
      </c>
      <c r="J2373" s="668" t="str">
        <f t="shared" si="412"/>
        <v>(3) Other Salaries - Warehouse/Distribute</v>
      </c>
      <c r="L2373" s="668">
        <v>86</v>
      </c>
      <c r="M2373" s="669">
        <v>81</v>
      </c>
      <c r="N2373" s="668"/>
      <c r="O2373" s="668">
        <v>17</v>
      </c>
      <c r="P2373" s="668" t="str">
        <f>IFERROR(VLOOKUP(F2373, [2]MOE!B:C, 2, FALSE), "No")</f>
        <v>No</v>
      </c>
      <c r="Q2373" s="711"/>
      <c r="S2373" s="670" t="s">
        <v>3279</v>
      </c>
      <c r="T2373" s="668" t="s">
        <v>3284</v>
      </c>
    </row>
    <row r="2374" spans="1:20">
      <c r="A2374" s="679">
        <v>3002530</v>
      </c>
      <c r="B2374" s="672"/>
      <c r="C2374" s="672"/>
      <c r="D2374" s="672" t="s">
        <v>777</v>
      </c>
      <c r="E2374" s="676" t="s">
        <v>1113</v>
      </c>
      <c r="F2374" s="680" t="s">
        <v>3285</v>
      </c>
      <c r="G2374" s="710">
        <v>300</v>
      </c>
      <c r="H2374" s="682">
        <v>2530</v>
      </c>
      <c r="J2374" s="668" t="str">
        <f t="shared" si="412"/>
        <v>Purchased Professional and Technical Svcs</v>
      </c>
      <c r="L2374" s="668">
        <v>101</v>
      </c>
      <c r="M2374" s="669">
        <v>96</v>
      </c>
      <c r="N2374" s="668"/>
      <c r="O2374" s="668">
        <v>17</v>
      </c>
      <c r="P2374" s="668" t="str">
        <f>IFERROR(VLOOKUP(F2374, [2]MOE!B:C, 2, FALSE), "No")</f>
        <v>No</v>
      </c>
      <c r="Q2374" s="711"/>
      <c r="S2374" s="670" t="s">
        <v>3279</v>
      </c>
      <c r="T2374" s="668" t="s">
        <v>1113</v>
      </c>
    </row>
    <row r="2375" spans="1:20">
      <c r="A2375" s="671"/>
      <c r="B2375" s="672"/>
      <c r="C2375" s="672"/>
      <c r="D2375" s="672" t="s">
        <v>801</v>
      </c>
      <c r="E2375" s="676" t="s">
        <v>250</v>
      </c>
      <c r="F2375" s="675"/>
      <c r="G2375" s="672"/>
      <c r="H2375" s="676"/>
      <c r="Q2375" s="711"/>
      <c r="S2375" s="670"/>
    </row>
    <row r="2376" spans="1:20">
      <c r="A2376" s="679">
        <v>4302530</v>
      </c>
      <c r="B2376" s="672"/>
      <c r="C2376" s="672"/>
      <c r="D2376" s="672"/>
      <c r="E2376" s="676" t="s">
        <v>1115</v>
      </c>
      <c r="F2376" s="680" t="s">
        <v>3286</v>
      </c>
      <c r="G2376" s="710">
        <v>430</v>
      </c>
      <c r="H2376" s="682">
        <v>2530</v>
      </c>
      <c r="J2376" s="668" t="str">
        <f t="shared" ref="J2376:J2378" si="413">E2376</f>
        <v>(1) Repairs and Maintenance Services</v>
      </c>
      <c r="L2376" s="668">
        <v>107</v>
      </c>
      <c r="M2376" s="669">
        <v>102</v>
      </c>
      <c r="N2376" s="668"/>
      <c r="O2376" s="668">
        <v>17</v>
      </c>
      <c r="P2376" s="668" t="str">
        <f>IFERROR(VLOOKUP(F2376, [2]MOE!B:C, 2, FALSE), "No")</f>
        <v>No</v>
      </c>
      <c r="Q2376" s="711"/>
      <c r="S2376" s="670" t="s">
        <v>3279</v>
      </c>
      <c r="T2376" s="668" t="s">
        <v>1023</v>
      </c>
    </row>
    <row r="2377" spans="1:20">
      <c r="A2377" s="679">
        <v>4422530</v>
      </c>
      <c r="B2377" s="672"/>
      <c r="C2377" s="672"/>
      <c r="D2377" s="672"/>
      <c r="E2377" s="676" t="s">
        <v>1382</v>
      </c>
      <c r="F2377" s="680" t="s">
        <v>3287</v>
      </c>
      <c r="G2377" s="710">
        <v>442</v>
      </c>
      <c r="H2377" s="682">
        <v>2530</v>
      </c>
      <c r="J2377" s="668" t="str">
        <f t="shared" si="413"/>
        <v>(2) Rental of Equipment and Vehicles</v>
      </c>
      <c r="L2377" s="668">
        <v>106</v>
      </c>
      <c r="M2377" s="669">
        <v>101</v>
      </c>
      <c r="N2377" s="668"/>
      <c r="O2377" s="668">
        <v>17</v>
      </c>
      <c r="P2377" s="668" t="str">
        <f>IFERROR(VLOOKUP(F2377, [2]MOE!B:C, 2, FALSE), "No")</f>
        <v>No</v>
      </c>
      <c r="Q2377" s="711"/>
      <c r="S2377" s="670" t="s">
        <v>3279</v>
      </c>
      <c r="T2377" s="668" t="s">
        <v>1384</v>
      </c>
    </row>
    <row r="2378" spans="1:20">
      <c r="A2378" s="679">
        <v>4002530</v>
      </c>
      <c r="B2378" s="672"/>
      <c r="C2378" s="672"/>
      <c r="D2378" s="672"/>
      <c r="E2378" s="676" t="s">
        <v>1119</v>
      </c>
      <c r="F2378" s="680" t="s">
        <v>3288</v>
      </c>
      <c r="G2378" s="710">
        <v>400</v>
      </c>
      <c r="H2378" s="682">
        <v>2530</v>
      </c>
      <c r="J2378" s="668" t="str">
        <f t="shared" si="413"/>
        <v>(3) Other Purchased Property Services</v>
      </c>
      <c r="L2378" s="668">
        <v>108</v>
      </c>
      <c r="M2378" s="669">
        <v>103</v>
      </c>
      <c r="N2378" s="668"/>
      <c r="O2378" s="668">
        <v>17</v>
      </c>
      <c r="P2378" s="668" t="str">
        <f>IFERROR(VLOOKUP(F2378, [2]MOE!B:C, 2, FALSE), "No")</f>
        <v>No</v>
      </c>
      <c r="Q2378" s="711"/>
      <c r="S2378" s="670" t="s">
        <v>3279</v>
      </c>
      <c r="T2378" s="668" t="s">
        <v>1027</v>
      </c>
    </row>
    <row r="2379" spans="1:20">
      <c r="A2379" s="671"/>
      <c r="B2379" s="672"/>
      <c r="C2379" s="672"/>
      <c r="D2379" s="672" t="s">
        <v>805</v>
      </c>
      <c r="E2379" s="676" t="s">
        <v>252</v>
      </c>
      <c r="F2379" s="675"/>
      <c r="G2379" s="672"/>
      <c r="H2379" s="676"/>
      <c r="Q2379" s="711"/>
      <c r="S2379" s="670"/>
    </row>
    <row r="2380" spans="1:20">
      <c r="A2380" s="679">
        <v>5822530</v>
      </c>
      <c r="B2380" s="672"/>
      <c r="C2380" s="672"/>
      <c r="D2380" s="672"/>
      <c r="E2380" s="676" t="s">
        <v>1864</v>
      </c>
      <c r="F2380" s="680" t="s">
        <v>3289</v>
      </c>
      <c r="G2380" s="710">
        <v>582</v>
      </c>
      <c r="H2380" s="682">
        <v>2530</v>
      </c>
      <c r="J2380" s="668" t="str">
        <f t="shared" ref="J2380:J2381" si="414">E2380</f>
        <v>(1) Travel Expense Reimbursement</v>
      </c>
      <c r="L2380" s="668">
        <v>118</v>
      </c>
      <c r="M2380" s="669">
        <v>109</v>
      </c>
      <c r="N2380" s="668"/>
      <c r="O2380" s="668">
        <v>17</v>
      </c>
      <c r="P2380" s="668" t="str">
        <f>IFERROR(VLOOKUP(F2380, [2]MOE!B:C, 2, FALSE), "No")</f>
        <v>No</v>
      </c>
      <c r="Q2380" s="711"/>
      <c r="S2380" s="670" t="s">
        <v>3279</v>
      </c>
      <c r="T2380" s="668" t="s">
        <v>1039</v>
      </c>
    </row>
    <row r="2381" spans="1:20">
      <c r="A2381" s="679">
        <v>5002530</v>
      </c>
      <c r="B2381" s="672"/>
      <c r="C2381" s="672"/>
      <c r="D2381" s="672"/>
      <c r="E2381" s="676" t="s">
        <v>1866</v>
      </c>
      <c r="F2381" s="680" t="s">
        <v>3290</v>
      </c>
      <c r="G2381" s="710">
        <v>500</v>
      </c>
      <c r="H2381" s="682">
        <v>2530</v>
      </c>
      <c r="J2381" s="668" t="str">
        <f t="shared" si="414"/>
        <v>(2) Other Purchased Services</v>
      </c>
      <c r="L2381" s="668">
        <v>119</v>
      </c>
      <c r="M2381" s="669">
        <v>110</v>
      </c>
      <c r="N2381" s="668"/>
      <c r="O2381" s="668">
        <v>17</v>
      </c>
      <c r="P2381" s="668" t="str">
        <f>IFERROR(VLOOKUP(F2381, [2]MOE!B:C, 2, FALSE), "No")</f>
        <v>No</v>
      </c>
      <c r="Q2381" s="711"/>
      <c r="S2381" s="670" t="s">
        <v>3279</v>
      </c>
      <c r="T2381" s="668" t="s">
        <v>252</v>
      </c>
    </row>
    <row r="2382" spans="1:20">
      <c r="A2382" s="671"/>
      <c r="B2382" s="672"/>
      <c r="C2382" s="672"/>
      <c r="D2382" s="672" t="s">
        <v>850</v>
      </c>
      <c r="E2382" s="676" t="s">
        <v>254</v>
      </c>
      <c r="F2382" s="675"/>
      <c r="G2382" s="672"/>
      <c r="H2382" s="676"/>
      <c r="Q2382" s="711"/>
      <c r="S2382" s="670"/>
    </row>
    <row r="2383" spans="1:20">
      <c r="A2383" s="679">
        <v>6152530</v>
      </c>
      <c r="B2383" s="672"/>
      <c r="C2383" s="672"/>
      <c r="D2383" s="672"/>
      <c r="E2383" s="676" t="s">
        <v>1139</v>
      </c>
      <c r="F2383" s="680" t="s">
        <v>3291</v>
      </c>
      <c r="G2383" s="710">
        <v>615</v>
      </c>
      <c r="H2383" s="682">
        <v>2530</v>
      </c>
      <c r="J2383" s="668" t="str">
        <f t="shared" ref="J2383:J2385" si="415">E2383</f>
        <v>(1) Technology-Related Supplies</v>
      </c>
      <c r="L2383" s="668">
        <v>126</v>
      </c>
      <c r="M2383" s="669">
        <v>117</v>
      </c>
      <c r="N2383" s="668"/>
      <c r="O2383" s="668">
        <v>17</v>
      </c>
      <c r="P2383" s="668" t="str">
        <f>IFERROR(VLOOKUP(F2383, [2]MOE!B:C, 2, FALSE), "No")</f>
        <v>No</v>
      </c>
      <c r="Q2383" s="711" t="s">
        <v>1045</v>
      </c>
      <c r="S2383" s="670" t="s">
        <v>3279</v>
      </c>
      <c r="T2383" s="668" t="s">
        <v>1043</v>
      </c>
    </row>
    <row r="2384" spans="1:20">
      <c r="A2384" s="679">
        <v>6102530</v>
      </c>
      <c r="B2384" s="672"/>
      <c r="C2384" s="672"/>
      <c r="D2384" s="672"/>
      <c r="E2384" s="676" t="s">
        <v>1141</v>
      </c>
      <c r="F2384" s="680" t="s">
        <v>3292</v>
      </c>
      <c r="G2384" s="710">
        <v>610</v>
      </c>
      <c r="H2384" s="682">
        <v>2530</v>
      </c>
      <c r="J2384" s="668" t="str">
        <f t="shared" si="415"/>
        <v>(2) Materials and Supplies</v>
      </c>
      <c r="L2384" s="668">
        <v>122</v>
      </c>
      <c r="M2384" s="669">
        <v>113</v>
      </c>
      <c r="N2384" s="668"/>
      <c r="O2384" s="668">
        <v>17</v>
      </c>
      <c r="P2384" s="668" t="str">
        <f>IFERROR(VLOOKUP(F2384, [2]MOE!B:C, 2, FALSE), "No")</f>
        <v>No</v>
      </c>
      <c r="Q2384" s="711" t="s">
        <v>1045</v>
      </c>
      <c r="S2384" s="670" t="s">
        <v>3279</v>
      </c>
      <c r="T2384" s="668" t="s">
        <v>39</v>
      </c>
    </row>
    <row r="2385" spans="1:20">
      <c r="A2385" s="679">
        <v>6002530</v>
      </c>
      <c r="B2385" s="672"/>
      <c r="C2385" s="672"/>
      <c r="D2385" s="672"/>
      <c r="E2385" s="676" t="s">
        <v>1870</v>
      </c>
      <c r="F2385" s="680" t="s">
        <v>3293</v>
      </c>
      <c r="G2385" s="710">
        <v>600</v>
      </c>
      <c r="H2385" s="682">
        <v>2530</v>
      </c>
      <c r="J2385" s="668" t="str">
        <f t="shared" si="415"/>
        <v>(3) Other Supplies</v>
      </c>
      <c r="L2385" s="668">
        <v>126</v>
      </c>
      <c r="M2385" s="669">
        <v>117</v>
      </c>
      <c r="N2385" s="668"/>
      <c r="O2385" s="668">
        <v>17</v>
      </c>
      <c r="P2385" s="668" t="str">
        <f>IFERROR(VLOOKUP(F2385, [2]MOE!B:C, 2, FALSE), "No")</f>
        <v>No</v>
      </c>
      <c r="Q2385" s="711"/>
      <c r="S2385" s="670" t="s">
        <v>3279</v>
      </c>
      <c r="T2385" s="668" t="s">
        <v>1050</v>
      </c>
    </row>
    <row r="2386" spans="1:20">
      <c r="A2386" s="671"/>
      <c r="B2386" s="672"/>
      <c r="C2386" s="672"/>
      <c r="D2386" s="672" t="s">
        <v>853</v>
      </c>
      <c r="E2386" s="676" t="s">
        <v>1052</v>
      </c>
      <c r="F2386" s="675"/>
      <c r="G2386" s="672"/>
      <c r="H2386" s="676"/>
      <c r="Q2386" s="711"/>
      <c r="S2386" s="670"/>
    </row>
    <row r="2387" spans="1:20">
      <c r="A2387" s="679">
        <v>7342530</v>
      </c>
      <c r="B2387" s="672"/>
      <c r="C2387" s="672"/>
      <c r="D2387" s="672"/>
      <c r="E2387" s="676" t="s">
        <v>1147</v>
      </c>
      <c r="F2387" s="680" t="s">
        <v>3294</v>
      </c>
      <c r="G2387" s="710">
        <v>734</v>
      </c>
      <c r="H2387" s="682">
        <v>2530</v>
      </c>
      <c r="J2387" s="668" t="str">
        <f t="shared" ref="J2387:J2391" si="416">E2387</f>
        <v>(1) Technology-Related Hardware</v>
      </c>
      <c r="L2387" s="668">
        <v>131</v>
      </c>
      <c r="M2387" s="669">
        <v>122</v>
      </c>
      <c r="N2387" s="668"/>
      <c r="O2387" s="668">
        <v>17</v>
      </c>
      <c r="P2387" s="668" t="str">
        <f>IFERROR(VLOOKUP(F2387, [2]MOE!B:C, 2, FALSE), "No")</f>
        <v>No</v>
      </c>
      <c r="Q2387" s="711"/>
      <c r="S2387" s="670" t="s">
        <v>3279</v>
      </c>
      <c r="T2387" s="668" t="s">
        <v>1053</v>
      </c>
    </row>
    <row r="2388" spans="1:20">
      <c r="A2388" s="679">
        <v>7352530</v>
      </c>
      <c r="B2388" s="672"/>
      <c r="C2388" s="672"/>
      <c r="D2388" s="672"/>
      <c r="E2388" s="676" t="s">
        <v>1149</v>
      </c>
      <c r="F2388" s="680" t="s">
        <v>3295</v>
      </c>
      <c r="G2388" s="710">
        <v>735</v>
      </c>
      <c r="H2388" s="682">
        <v>2530</v>
      </c>
      <c r="J2388" s="668" t="str">
        <f t="shared" si="416"/>
        <v>(2) Technology Software</v>
      </c>
      <c r="L2388" s="668">
        <v>131</v>
      </c>
      <c r="M2388" s="669">
        <v>122</v>
      </c>
      <c r="N2388" s="668"/>
      <c r="O2388" s="668">
        <v>17</v>
      </c>
      <c r="P2388" s="668" t="str">
        <f>IFERROR(VLOOKUP(F2388, [2]MOE!B:C, 2, FALSE), "No")</f>
        <v>No</v>
      </c>
      <c r="Q2388" s="711"/>
      <c r="S2388" s="670" t="s">
        <v>3279</v>
      </c>
      <c r="T2388" s="668" t="s">
        <v>1055</v>
      </c>
    </row>
    <row r="2389" spans="1:20">
      <c r="A2389" s="679">
        <v>7302530</v>
      </c>
      <c r="B2389" s="672"/>
      <c r="C2389" s="672"/>
      <c r="D2389" s="672"/>
      <c r="E2389" s="676" t="s">
        <v>3126</v>
      </c>
      <c r="F2389" s="680" t="s">
        <v>3296</v>
      </c>
      <c r="G2389" s="710">
        <v>730</v>
      </c>
      <c r="H2389" s="682">
        <v>2530</v>
      </c>
      <c r="J2389" s="668" t="str">
        <f t="shared" si="416"/>
        <v>(3) All Other Equipment (Including Veh)</v>
      </c>
      <c r="L2389" s="668">
        <v>131</v>
      </c>
      <c r="M2389" s="669">
        <v>122</v>
      </c>
      <c r="N2389" s="668"/>
      <c r="O2389" s="668">
        <v>17</v>
      </c>
      <c r="P2389" s="668" t="str">
        <f>IFERROR(VLOOKUP(F2389, [2]MOE!B:C, 2, FALSE), "No")</f>
        <v>No</v>
      </c>
      <c r="Q2389" s="711"/>
      <c r="S2389" s="670" t="s">
        <v>3279</v>
      </c>
      <c r="T2389" s="668" t="s">
        <v>1057</v>
      </c>
    </row>
    <row r="2390" spans="1:20">
      <c r="A2390" s="679">
        <v>7002530</v>
      </c>
      <c r="B2390" s="672"/>
      <c r="C2390" s="672"/>
      <c r="D2390" s="672"/>
      <c r="E2390" s="676" t="s">
        <v>1153</v>
      </c>
      <c r="F2390" s="680" t="s">
        <v>3297</v>
      </c>
      <c r="G2390" s="710">
        <v>700</v>
      </c>
      <c r="H2390" s="682">
        <v>2530</v>
      </c>
      <c r="J2390" s="668" t="str">
        <f t="shared" si="416"/>
        <v>(4) Other Property</v>
      </c>
      <c r="L2390" s="668">
        <v>132</v>
      </c>
      <c r="M2390" s="669">
        <v>123</v>
      </c>
      <c r="N2390" s="668"/>
      <c r="O2390" s="668">
        <v>17</v>
      </c>
      <c r="P2390" s="668" t="str">
        <f>IFERROR(VLOOKUP(F2390, [2]MOE!B:C, 2, FALSE), "No")</f>
        <v>No</v>
      </c>
      <c r="Q2390" s="711"/>
      <c r="S2390" s="670" t="s">
        <v>3279</v>
      </c>
      <c r="T2390" s="668" t="s">
        <v>1059</v>
      </c>
    </row>
    <row r="2391" spans="1:20">
      <c r="A2391" s="679">
        <v>8002530</v>
      </c>
      <c r="B2391" s="672"/>
      <c r="C2391" s="672"/>
      <c r="D2391" s="672" t="s">
        <v>856</v>
      </c>
      <c r="E2391" s="676" t="s">
        <v>3071</v>
      </c>
      <c r="F2391" s="680" t="s">
        <v>3298</v>
      </c>
      <c r="G2391" s="710">
        <v>800</v>
      </c>
      <c r="H2391" s="682">
        <v>2530</v>
      </c>
      <c r="J2391" s="668" t="str">
        <f t="shared" si="416"/>
        <v>Miscellaneous Expenditures</v>
      </c>
      <c r="L2391" s="668">
        <v>139</v>
      </c>
      <c r="M2391" s="669">
        <v>129</v>
      </c>
      <c r="N2391" s="668"/>
      <c r="O2391" s="668">
        <v>17</v>
      </c>
      <c r="P2391" s="668" t="str">
        <f>IFERROR(VLOOKUP(F2391, [2]MOE!B:C, 2, FALSE), "No")</f>
        <v>No</v>
      </c>
      <c r="Q2391" s="711"/>
      <c r="S2391" s="670" t="s">
        <v>3279</v>
      </c>
      <c r="T2391" s="668" t="s">
        <v>3071</v>
      </c>
    </row>
    <row r="2392" spans="1:20">
      <c r="A2392" s="671"/>
      <c r="B2392" s="672"/>
      <c r="C2392" s="672"/>
      <c r="D2392" s="672" t="s">
        <v>859</v>
      </c>
      <c r="E2392" s="676" t="s">
        <v>1065</v>
      </c>
      <c r="F2392" s="675"/>
      <c r="G2392" s="672"/>
      <c r="H2392" s="676"/>
      <c r="Q2392" s="711"/>
      <c r="S2392" s="670"/>
    </row>
    <row r="2393" spans="1:20">
      <c r="A2393" s="679">
        <v>2102530</v>
      </c>
      <c r="B2393" s="672"/>
      <c r="C2393" s="672"/>
      <c r="D2393" s="672"/>
      <c r="E2393" s="676" t="s">
        <v>1159</v>
      </c>
      <c r="F2393" s="680" t="s">
        <v>3299</v>
      </c>
      <c r="G2393" s="710">
        <v>210</v>
      </c>
      <c r="H2393" s="682">
        <v>2530</v>
      </c>
      <c r="J2393" s="668" t="str">
        <f t="shared" ref="J2393:J2395" si="417">E2393</f>
        <v>(1) Group Insurance</v>
      </c>
      <c r="L2393" s="668">
        <v>89</v>
      </c>
      <c r="M2393" s="669">
        <v>84</v>
      </c>
      <c r="N2393" s="668"/>
      <c r="O2393" s="668">
        <v>17</v>
      </c>
      <c r="P2393" s="668" t="str">
        <f>IFERROR(VLOOKUP(F2393, [2]MOE!B:C, 2, FALSE), "No")</f>
        <v>No</v>
      </c>
      <c r="Q2393" s="711"/>
      <c r="S2393" s="670" t="s">
        <v>3279</v>
      </c>
      <c r="T2393" s="668" t="s">
        <v>1066</v>
      </c>
    </row>
    <row r="2394" spans="1:20">
      <c r="A2394" s="679">
        <v>2202530</v>
      </c>
      <c r="B2394" s="672"/>
      <c r="C2394" s="672"/>
      <c r="D2394" s="672"/>
      <c r="E2394" s="676" t="s">
        <v>1161</v>
      </c>
      <c r="F2394" s="680" t="s">
        <v>3300</v>
      </c>
      <c r="G2394" s="710">
        <v>220</v>
      </c>
      <c r="H2394" s="682">
        <v>2530</v>
      </c>
      <c r="J2394" s="668" t="str">
        <f t="shared" si="417"/>
        <v>(2) FICA</v>
      </c>
      <c r="L2394" s="668">
        <v>90</v>
      </c>
      <c r="M2394" s="669">
        <v>85</v>
      </c>
      <c r="N2394" s="668"/>
      <c r="O2394" s="668">
        <v>17</v>
      </c>
      <c r="P2394" s="668" t="str">
        <f>IFERROR(VLOOKUP(F2394, [2]MOE!B:C, 2, FALSE), "No")</f>
        <v>No</v>
      </c>
      <c r="Q2394" s="711"/>
      <c r="S2394" s="670" t="s">
        <v>3279</v>
      </c>
      <c r="T2394" s="668" t="s">
        <v>1068</v>
      </c>
    </row>
    <row r="2395" spans="1:20">
      <c r="A2395" s="679">
        <v>2252530</v>
      </c>
      <c r="B2395" s="672"/>
      <c r="C2395" s="672"/>
      <c r="D2395" s="672"/>
      <c r="E2395" s="676" t="s">
        <v>1163</v>
      </c>
      <c r="F2395" s="680" t="s">
        <v>3301</v>
      </c>
      <c r="G2395" s="710">
        <v>225</v>
      </c>
      <c r="H2395" s="682">
        <v>2530</v>
      </c>
      <c r="J2395" s="668" t="str">
        <f t="shared" si="417"/>
        <v>(3) Medicare</v>
      </c>
      <c r="L2395" s="668">
        <v>91</v>
      </c>
      <c r="M2395" s="669">
        <v>86</v>
      </c>
      <c r="N2395" s="668"/>
      <c r="O2395" s="668">
        <v>17</v>
      </c>
      <c r="P2395" s="668" t="str">
        <f>IFERROR(VLOOKUP(F2395, [2]MOE!B:C, 2, FALSE), "No")</f>
        <v>No</v>
      </c>
      <c r="Q2395" s="711"/>
      <c r="S2395" s="670" t="s">
        <v>3279</v>
      </c>
      <c r="T2395" s="668" t="s">
        <v>23</v>
      </c>
    </row>
    <row r="2396" spans="1:20">
      <c r="A2396" s="671"/>
      <c r="B2396" s="672"/>
      <c r="C2396" s="672"/>
      <c r="D2396" s="672"/>
      <c r="E2396" s="676" t="s">
        <v>1165</v>
      </c>
      <c r="F2396" s="675"/>
      <c r="G2396" s="672"/>
      <c r="H2396" s="676"/>
      <c r="Q2396" s="711"/>
      <c r="S2396" s="670"/>
    </row>
    <row r="2397" spans="1:20">
      <c r="A2397" s="679">
        <v>2312530</v>
      </c>
      <c r="B2397" s="672"/>
      <c r="C2397" s="672"/>
      <c r="D2397" s="672"/>
      <c r="E2397" s="676" t="s">
        <v>1166</v>
      </c>
      <c r="F2397" s="680" t="s">
        <v>3302</v>
      </c>
      <c r="G2397" s="710">
        <v>231</v>
      </c>
      <c r="H2397" s="682">
        <v>2530</v>
      </c>
      <c r="J2397" s="668" t="str">
        <f t="shared" ref="J2397:J2405" si="418">E2397</f>
        <v>(a) Louisiana Teachers Retirement</v>
      </c>
      <c r="L2397" s="668">
        <v>92</v>
      </c>
      <c r="M2397" s="669">
        <v>87</v>
      </c>
      <c r="N2397" s="668"/>
      <c r="O2397" s="668">
        <v>17</v>
      </c>
      <c r="P2397" s="668" t="str">
        <f>IFERROR(VLOOKUP(F2397, [2]MOE!B:C, 2, FALSE), "No")</f>
        <v>No</v>
      </c>
      <c r="Q2397" s="711"/>
      <c r="S2397" s="670" t="s">
        <v>3279</v>
      </c>
      <c r="T2397" s="668" t="s">
        <v>1074</v>
      </c>
    </row>
    <row r="2398" spans="1:20">
      <c r="A2398" s="679">
        <v>2332530</v>
      </c>
      <c r="B2398" s="672"/>
      <c r="C2398" s="672"/>
      <c r="D2398" s="672"/>
      <c r="E2398" s="676" t="s">
        <v>1168</v>
      </c>
      <c r="F2398" s="680" t="s">
        <v>3303</v>
      </c>
      <c r="G2398" s="710">
        <v>233</v>
      </c>
      <c r="H2398" s="682">
        <v>2530</v>
      </c>
      <c r="J2398" s="668" t="str">
        <f t="shared" si="418"/>
        <v>(b) Louisiana School Emp. Retirement</v>
      </c>
      <c r="L2398" s="668">
        <v>92</v>
      </c>
      <c r="M2398" s="669">
        <v>87</v>
      </c>
      <c r="N2398" s="668"/>
      <c r="O2398" s="668">
        <v>17</v>
      </c>
      <c r="P2398" s="668" t="str">
        <f>IFERROR(VLOOKUP(F2398, [2]MOE!B:C, 2, FALSE), "No")</f>
        <v>No</v>
      </c>
      <c r="Q2398" s="711"/>
      <c r="S2398" s="670" t="s">
        <v>3279</v>
      </c>
      <c r="T2398" s="668" t="s">
        <v>1170</v>
      </c>
    </row>
    <row r="2399" spans="1:20">
      <c r="A2399" s="679">
        <v>2392530</v>
      </c>
      <c r="B2399" s="672"/>
      <c r="C2399" s="672"/>
      <c r="D2399" s="672"/>
      <c r="E2399" s="676" t="s">
        <v>1171</v>
      </c>
      <c r="F2399" s="680" t="s">
        <v>3304</v>
      </c>
      <c r="G2399" s="710">
        <v>239</v>
      </c>
      <c r="H2399" s="682">
        <v>2530</v>
      </c>
      <c r="J2399" s="668" t="str">
        <f t="shared" si="418"/>
        <v>(c) Other Retirement</v>
      </c>
      <c r="L2399" s="668">
        <v>92</v>
      </c>
      <c r="M2399" s="669">
        <v>87</v>
      </c>
      <c r="N2399" s="668"/>
      <c r="O2399" s="668">
        <v>17</v>
      </c>
      <c r="P2399" s="668" t="str">
        <f>IFERROR(VLOOKUP(F2399, [2]MOE!B:C, 2, FALSE), "No")</f>
        <v>No</v>
      </c>
      <c r="Q2399" s="711"/>
      <c r="S2399" s="670" t="s">
        <v>3279</v>
      </c>
      <c r="T2399" s="668" t="s">
        <v>1080</v>
      </c>
    </row>
    <row r="2400" spans="1:20">
      <c r="A2400" s="679">
        <v>2502530</v>
      </c>
      <c r="B2400" s="672"/>
      <c r="C2400" s="672"/>
      <c r="D2400" s="672"/>
      <c r="E2400" s="676" t="s">
        <v>1173</v>
      </c>
      <c r="F2400" s="680" t="s">
        <v>3305</v>
      </c>
      <c r="G2400" s="710">
        <v>250</v>
      </c>
      <c r="H2400" s="682">
        <v>2530</v>
      </c>
      <c r="J2400" s="668" t="str">
        <f t="shared" si="418"/>
        <v>(5) Unemployment Compensation</v>
      </c>
      <c r="L2400" s="668">
        <v>93</v>
      </c>
      <c r="M2400" s="669">
        <v>88</v>
      </c>
      <c r="N2400" s="668"/>
      <c r="O2400" s="668">
        <v>17</v>
      </c>
      <c r="P2400" s="668" t="str">
        <f>IFERROR(VLOOKUP(F2400, [2]MOE!B:C, 2, FALSE), "No")</f>
        <v>No</v>
      </c>
      <c r="Q2400" s="711"/>
      <c r="S2400" s="670" t="s">
        <v>3279</v>
      </c>
      <c r="T2400" s="668" t="s">
        <v>1081</v>
      </c>
    </row>
    <row r="2401" spans="1:20">
      <c r="A2401" s="679">
        <v>2602530</v>
      </c>
      <c r="B2401" s="672"/>
      <c r="C2401" s="672"/>
      <c r="D2401" s="672"/>
      <c r="E2401" s="676" t="s">
        <v>1175</v>
      </c>
      <c r="F2401" s="680" t="s">
        <v>3306</v>
      </c>
      <c r="G2401" s="710">
        <v>260</v>
      </c>
      <c r="H2401" s="682">
        <v>2530</v>
      </c>
      <c r="J2401" s="668" t="str">
        <f t="shared" si="418"/>
        <v>(6) Workmen's Compensation</v>
      </c>
      <c r="L2401" s="668">
        <v>95</v>
      </c>
      <c r="M2401" s="669">
        <v>90</v>
      </c>
      <c r="N2401" s="668"/>
      <c r="O2401" s="668">
        <v>17</v>
      </c>
      <c r="P2401" s="668" t="str">
        <f>IFERROR(VLOOKUP(F2401, [2]MOE!B:C, 2, FALSE), "No")</f>
        <v>No</v>
      </c>
      <c r="Q2401" s="711"/>
      <c r="S2401" s="670" t="s">
        <v>3279</v>
      </c>
      <c r="T2401" s="668" t="s">
        <v>1083</v>
      </c>
    </row>
    <row r="2402" spans="1:20">
      <c r="A2402" s="679">
        <v>2702530</v>
      </c>
      <c r="B2402" s="672"/>
      <c r="C2402" s="672"/>
      <c r="D2402" s="672"/>
      <c r="E2402" s="676" t="s">
        <v>1177</v>
      </c>
      <c r="F2402" s="680" t="s">
        <v>3307</v>
      </c>
      <c r="G2402" s="710">
        <v>270</v>
      </c>
      <c r="H2402" s="682">
        <v>2530</v>
      </c>
      <c r="J2402" s="668" t="str">
        <f t="shared" si="418"/>
        <v>(7) Health Benefits (retirees)</v>
      </c>
      <c r="L2402" s="668">
        <v>94</v>
      </c>
      <c r="M2402" s="669">
        <v>89</v>
      </c>
      <c r="N2402" s="668"/>
      <c r="O2402" s="668">
        <v>17</v>
      </c>
      <c r="P2402" s="668" t="str">
        <f>IFERROR(VLOOKUP(F2402, [2]MOE!B:C, 2, FALSE), "No")</f>
        <v>No</v>
      </c>
      <c r="Q2402" s="711"/>
      <c r="S2402" s="670" t="s">
        <v>3279</v>
      </c>
      <c r="T2402" s="668" t="s">
        <v>1085</v>
      </c>
    </row>
    <row r="2403" spans="1:20">
      <c r="A2403" s="679">
        <v>2812530</v>
      </c>
      <c r="B2403" s="672"/>
      <c r="C2403" s="672"/>
      <c r="D2403" s="672"/>
      <c r="E2403" s="676" t="s">
        <v>1179</v>
      </c>
      <c r="F2403" s="680" t="s">
        <v>3308</v>
      </c>
      <c r="G2403" s="710">
        <v>281</v>
      </c>
      <c r="H2403" s="682">
        <v>2530</v>
      </c>
      <c r="J2403" s="668" t="str">
        <f t="shared" si="418"/>
        <v>(8) Sick Leave Severance Pay</v>
      </c>
      <c r="L2403" s="668">
        <v>95</v>
      </c>
      <c r="M2403" s="669">
        <v>90</v>
      </c>
      <c r="N2403" s="668"/>
      <c r="O2403" s="668">
        <v>17</v>
      </c>
      <c r="P2403" s="668" t="str">
        <f>IFERROR(VLOOKUP(F2403, [2]MOE!B:C, 2, FALSE), "No")</f>
        <v>No</v>
      </c>
      <c r="Q2403" s="711"/>
      <c r="S2403" s="670" t="s">
        <v>3279</v>
      </c>
      <c r="T2403" s="668" t="s">
        <v>1087</v>
      </c>
    </row>
    <row r="2404" spans="1:20">
      <c r="A2404" s="679">
        <v>2822530</v>
      </c>
      <c r="B2404" s="672"/>
      <c r="C2404" s="672"/>
      <c r="D2404" s="672"/>
      <c r="E2404" s="676" t="s">
        <v>1181</v>
      </c>
      <c r="F2404" s="680" t="s">
        <v>3309</v>
      </c>
      <c r="G2404" s="710">
        <v>282</v>
      </c>
      <c r="H2404" s="682">
        <v>2530</v>
      </c>
      <c r="J2404" s="668" t="str">
        <f t="shared" si="418"/>
        <v>(9) Annual Leave Severance Pay</v>
      </c>
      <c r="L2404" s="668">
        <v>95</v>
      </c>
      <c r="M2404" s="669">
        <v>90</v>
      </c>
      <c r="N2404" s="668"/>
      <c r="O2404" s="668">
        <v>17</v>
      </c>
      <c r="P2404" s="668" t="str">
        <f>IFERROR(VLOOKUP(F2404, [2]MOE!B:C, 2, FALSE), "No")</f>
        <v>No</v>
      </c>
      <c r="Q2404" s="711"/>
      <c r="S2404" s="670" t="s">
        <v>3279</v>
      </c>
      <c r="T2404" s="668" t="s">
        <v>1089</v>
      </c>
    </row>
    <row r="2405" spans="1:20">
      <c r="A2405" s="679">
        <v>2902530</v>
      </c>
      <c r="B2405" s="672"/>
      <c r="C2405" s="672"/>
      <c r="D2405" s="672"/>
      <c r="E2405" s="676" t="s">
        <v>1183</v>
      </c>
      <c r="F2405" s="680" t="s">
        <v>3310</v>
      </c>
      <c r="G2405" s="710">
        <v>290</v>
      </c>
      <c r="H2405" s="682">
        <v>2530</v>
      </c>
      <c r="J2405" s="668" t="str">
        <f t="shared" si="418"/>
        <v>(10) Other Employee Benefits</v>
      </c>
      <c r="L2405" s="668">
        <v>95</v>
      </c>
      <c r="M2405" s="669">
        <v>90</v>
      </c>
      <c r="N2405" s="668"/>
      <c r="O2405" s="668">
        <v>17</v>
      </c>
      <c r="P2405" s="668" t="str">
        <f>IFERROR(VLOOKUP(F2405, [2]MOE!B:C, 2, FALSE), "No")</f>
        <v>No</v>
      </c>
      <c r="Q2405" s="711"/>
      <c r="S2405" s="670" t="s">
        <v>3279</v>
      </c>
      <c r="T2405" s="668" t="s">
        <v>1092</v>
      </c>
    </row>
    <row r="2406" spans="1:20">
      <c r="A2406" s="671"/>
      <c r="B2406" s="672"/>
      <c r="C2406" s="678">
        <v>73</v>
      </c>
      <c r="D2406" s="925" t="s">
        <v>3311</v>
      </c>
      <c r="E2406" s="926"/>
      <c r="F2406" s="675"/>
      <c r="G2406" s="672"/>
      <c r="H2406" s="676"/>
      <c r="Q2406" s="711"/>
      <c r="S2406" s="670"/>
    </row>
    <row r="2407" spans="1:20">
      <c r="A2407" s="671"/>
      <c r="B2407" s="672"/>
      <c r="C2407" s="672"/>
      <c r="D2407" s="672" t="s">
        <v>759</v>
      </c>
      <c r="E2407" s="676" t="s">
        <v>244</v>
      </c>
      <c r="F2407" s="675"/>
      <c r="G2407" s="672"/>
      <c r="H2407" s="676"/>
      <c r="Q2407" s="711"/>
      <c r="S2407" s="670"/>
    </row>
    <row r="2408" spans="1:20">
      <c r="A2408" s="679">
        <v>1112540</v>
      </c>
      <c r="B2408" s="672"/>
      <c r="C2408" s="672"/>
      <c r="D2408" s="672"/>
      <c r="E2408" s="676" t="s">
        <v>1845</v>
      </c>
      <c r="F2408" s="680" t="s">
        <v>3312</v>
      </c>
      <c r="G2408" s="710">
        <v>111</v>
      </c>
      <c r="H2408" s="682">
        <v>2540</v>
      </c>
      <c r="J2408" s="668" t="str">
        <f t="shared" ref="J2408:J2411" si="419">E2408</f>
        <v>(1) Supervisors</v>
      </c>
      <c r="L2408" s="668">
        <v>81</v>
      </c>
      <c r="M2408" s="669">
        <v>76</v>
      </c>
      <c r="N2408" s="668"/>
      <c r="O2408" s="668">
        <v>17</v>
      </c>
      <c r="P2408" s="668" t="str">
        <f>IFERROR(VLOOKUP(F2408, [2]MOE!B:C, 2, FALSE), "No")</f>
        <v>No</v>
      </c>
      <c r="Q2408" s="711"/>
      <c r="S2408" s="670" t="s">
        <v>3311</v>
      </c>
      <c r="T2408" s="668" t="s">
        <v>1848</v>
      </c>
    </row>
    <row r="2409" spans="1:20">
      <c r="A2409" s="679">
        <v>1142540</v>
      </c>
      <c r="B2409" s="672"/>
      <c r="C2409" s="672"/>
      <c r="D2409" s="672"/>
      <c r="E2409" s="676" t="s">
        <v>3197</v>
      </c>
      <c r="F2409" s="680" t="s">
        <v>3313</v>
      </c>
      <c r="G2409" s="710">
        <v>114</v>
      </c>
      <c r="H2409" s="682">
        <v>2540</v>
      </c>
      <c r="J2409" s="668" t="str">
        <f t="shared" si="419"/>
        <v>(2) Clerical/Secretarial</v>
      </c>
      <c r="L2409" s="668">
        <v>84</v>
      </c>
      <c r="M2409" s="669">
        <v>79</v>
      </c>
      <c r="N2409" s="668"/>
      <c r="O2409" s="668">
        <v>17</v>
      </c>
      <c r="P2409" s="668" t="str">
        <f>IFERROR(VLOOKUP(F2409, [2]MOE!B:C, 2, FALSE), "No")</f>
        <v>No</v>
      </c>
      <c r="Q2409" s="711"/>
      <c r="S2409" s="670" t="s">
        <v>3311</v>
      </c>
      <c r="T2409" s="668" t="s">
        <v>1854</v>
      </c>
    </row>
    <row r="2410" spans="1:20">
      <c r="A2410" s="679">
        <v>1002540</v>
      </c>
      <c r="B2410" s="672"/>
      <c r="C2410" s="672"/>
      <c r="D2410" s="672"/>
      <c r="E2410" s="676" t="s">
        <v>3314</v>
      </c>
      <c r="F2410" s="680" t="s">
        <v>3315</v>
      </c>
      <c r="G2410" s="710">
        <v>100</v>
      </c>
      <c r="H2410" s="682">
        <v>2540</v>
      </c>
      <c r="J2410" s="668" t="str">
        <f t="shared" si="419"/>
        <v>(3) Other Salaries - Print/Publish/Dup</v>
      </c>
      <c r="L2410" s="668">
        <v>86</v>
      </c>
      <c r="M2410" s="669">
        <v>81</v>
      </c>
      <c r="N2410" s="668"/>
      <c r="O2410" s="668">
        <v>17</v>
      </c>
      <c r="P2410" s="668" t="str">
        <f>IFERROR(VLOOKUP(F2410, [2]MOE!B:C, 2, FALSE), "No")</f>
        <v>No</v>
      </c>
      <c r="Q2410" s="711"/>
      <c r="S2410" s="670" t="s">
        <v>3311</v>
      </c>
      <c r="T2410" s="668" t="s">
        <v>3316</v>
      </c>
    </row>
    <row r="2411" spans="1:20">
      <c r="A2411" s="679">
        <v>3002540</v>
      </c>
      <c r="B2411" s="672"/>
      <c r="C2411" s="672"/>
      <c r="D2411" s="672" t="s">
        <v>777</v>
      </c>
      <c r="E2411" s="676" t="s">
        <v>1113</v>
      </c>
      <c r="F2411" s="680" t="s">
        <v>3317</v>
      </c>
      <c r="G2411" s="710">
        <v>300</v>
      </c>
      <c r="H2411" s="682">
        <v>2540</v>
      </c>
      <c r="J2411" s="668" t="str">
        <f t="shared" si="419"/>
        <v>Purchased Professional and Technical Svcs</v>
      </c>
      <c r="L2411" s="668">
        <v>101</v>
      </c>
      <c r="M2411" s="669">
        <v>96</v>
      </c>
      <c r="N2411" s="668"/>
      <c r="O2411" s="668">
        <v>17</v>
      </c>
      <c r="P2411" s="668" t="str">
        <f>IFERROR(VLOOKUP(F2411, [2]MOE!B:C, 2, FALSE), "No")</f>
        <v>No</v>
      </c>
      <c r="Q2411" s="711"/>
      <c r="S2411" s="670" t="s">
        <v>3311</v>
      </c>
      <c r="T2411" s="668" t="s">
        <v>1113</v>
      </c>
    </row>
    <row r="2412" spans="1:20">
      <c r="A2412" s="671"/>
      <c r="B2412" s="672"/>
      <c r="C2412" s="672"/>
      <c r="D2412" s="672" t="s">
        <v>801</v>
      </c>
      <c r="E2412" s="676" t="s">
        <v>250</v>
      </c>
      <c r="F2412" s="675"/>
      <c r="G2412" s="672"/>
      <c r="H2412" s="676"/>
      <c r="Q2412" s="711"/>
      <c r="S2412" s="670"/>
    </row>
    <row r="2413" spans="1:20">
      <c r="A2413" s="679">
        <v>4302540</v>
      </c>
      <c r="B2413" s="672"/>
      <c r="C2413" s="672"/>
      <c r="D2413" s="672"/>
      <c r="E2413" s="676" t="s">
        <v>1115</v>
      </c>
      <c r="F2413" s="680" t="s">
        <v>3318</v>
      </c>
      <c r="G2413" s="710">
        <v>430</v>
      </c>
      <c r="H2413" s="682">
        <v>2540</v>
      </c>
      <c r="J2413" s="668" t="str">
        <f t="shared" ref="J2413:J2415" si="420">E2413</f>
        <v>(1) Repairs and Maintenance Services</v>
      </c>
      <c r="L2413" s="668">
        <v>107</v>
      </c>
      <c r="M2413" s="669">
        <v>102</v>
      </c>
      <c r="N2413" s="668"/>
      <c r="O2413" s="668">
        <v>17</v>
      </c>
      <c r="P2413" s="668" t="str">
        <f>IFERROR(VLOOKUP(F2413, [2]MOE!B:C, 2, FALSE), "No")</f>
        <v>No</v>
      </c>
      <c r="Q2413" s="711"/>
      <c r="S2413" s="670" t="s">
        <v>3311</v>
      </c>
      <c r="T2413" s="668" t="s">
        <v>1023</v>
      </c>
    </row>
    <row r="2414" spans="1:20">
      <c r="A2414" s="679">
        <v>4422540</v>
      </c>
      <c r="B2414" s="672"/>
      <c r="C2414" s="672"/>
      <c r="D2414" s="672"/>
      <c r="E2414" s="676" t="s">
        <v>1382</v>
      </c>
      <c r="F2414" s="680" t="s">
        <v>3319</v>
      </c>
      <c r="G2414" s="710">
        <v>442</v>
      </c>
      <c r="H2414" s="682">
        <v>2540</v>
      </c>
      <c r="J2414" s="668" t="str">
        <f t="shared" si="420"/>
        <v>(2) Rental of Equipment and Vehicles</v>
      </c>
      <c r="L2414" s="668">
        <v>106</v>
      </c>
      <c r="M2414" s="669">
        <v>101</v>
      </c>
      <c r="N2414" s="668"/>
      <c r="O2414" s="668">
        <v>17</v>
      </c>
      <c r="P2414" s="668" t="str">
        <f>IFERROR(VLOOKUP(F2414, [2]MOE!B:C, 2, FALSE), "No")</f>
        <v>No</v>
      </c>
      <c r="Q2414" s="711"/>
      <c r="S2414" s="670" t="s">
        <v>3311</v>
      </c>
      <c r="T2414" s="668" t="s">
        <v>1384</v>
      </c>
    </row>
    <row r="2415" spans="1:20">
      <c r="A2415" s="679">
        <v>4002540</v>
      </c>
      <c r="B2415" s="672"/>
      <c r="C2415" s="672"/>
      <c r="D2415" s="672"/>
      <c r="E2415" s="676" t="s">
        <v>1119</v>
      </c>
      <c r="F2415" s="680" t="s">
        <v>3320</v>
      </c>
      <c r="G2415" s="710">
        <v>400</v>
      </c>
      <c r="H2415" s="682">
        <v>2540</v>
      </c>
      <c r="J2415" s="668" t="str">
        <f t="shared" si="420"/>
        <v>(3) Other Purchased Property Services</v>
      </c>
      <c r="L2415" s="668">
        <v>108</v>
      </c>
      <c r="M2415" s="669">
        <v>103</v>
      </c>
      <c r="N2415" s="668"/>
      <c r="O2415" s="668">
        <v>17</v>
      </c>
      <c r="P2415" s="668" t="str">
        <f>IFERROR(VLOOKUP(F2415, [2]MOE!B:C, 2, FALSE), "No")</f>
        <v>No</v>
      </c>
      <c r="Q2415" s="711"/>
      <c r="S2415" s="670" t="s">
        <v>3311</v>
      </c>
      <c r="T2415" s="668" t="s">
        <v>1027</v>
      </c>
    </row>
    <row r="2416" spans="1:20">
      <c r="A2416" s="671"/>
      <c r="B2416" s="672"/>
      <c r="C2416" s="672"/>
      <c r="D2416" s="672" t="s">
        <v>805</v>
      </c>
      <c r="E2416" s="676" t="s">
        <v>252</v>
      </c>
      <c r="F2416" s="675"/>
      <c r="G2416" s="672"/>
      <c r="H2416" s="676"/>
      <c r="Q2416" s="711"/>
      <c r="S2416" s="670"/>
    </row>
    <row r="2417" spans="1:20">
      <c r="A2417" s="679">
        <v>5502540</v>
      </c>
      <c r="B2417" s="672"/>
      <c r="C2417" s="672"/>
      <c r="D2417" s="672"/>
      <c r="E2417" s="676" t="s">
        <v>3321</v>
      </c>
      <c r="F2417" s="680" t="s">
        <v>3322</v>
      </c>
      <c r="G2417" s="710">
        <v>550</v>
      </c>
      <c r="H2417" s="682">
        <v>2540</v>
      </c>
      <c r="J2417" s="668" t="str">
        <f t="shared" ref="J2417:J2419" si="421">E2417</f>
        <v>(1) Printing and Binding</v>
      </c>
      <c r="L2417" s="668">
        <v>119</v>
      </c>
      <c r="M2417" s="669">
        <v>110</v>
      </c>
      <c r="N2417" s="668"/>
      <c r="O2417" s="668">
        <v>17</v>
      </c>
      <c r="P2417" s="668" t="str">
        <f>IFERROR(VLOOKUP(F2417, [2]MOE!B:C, 2, FALSE), "No")</f>
        <v>No</v>
      </c>
      <c r="Q2417" s="711"/>
      <c r="S2417" s="670" t="s">
        <v>3311</v>
      </c>
      <c r="T2417" s="668" t="s">
        <v>3323</v>
      </c>
    </row>
    <row r="2418" spans="1:20">
      <c r="A2418" s="679">
        <v>5822540</v>
      </c>
      <c r="B2418" s="672"/>
      <c r="C2418" s="672"/>
      <c r="D2418" s="672"/>
      <c r="E2418" s="676" t="s">
        <v>1135</v>
      </c>
      <c r="F2418" s="680" t="s">
        <v>3324</v>
      </c>
      <c r="G2418" s="710">
        <v>582</v>
      </c>
      <c r="H2418" s="682">
        <v>2540</v>
      </c>
      <c r="J2418" s="668" t="str">
        <f t="shared" si="421"/>
        <v>(2) Travel Expense Reimbursement</v>
      </c>
      <c r="L2418" s="668">
        <v>118</v>
      </c>
      <c r="M2418" s="669">
        <v>109</v>
      </c>
      <c r="N2418" s="668"/>
      <c r="O2418" s="668">
        <v>17</v>
      </c>
      <c r="P2418" s="668" t="str">
        <f>IFERROR(VLOOKUP(F2418, [2]MOE!B:C, 2, FALSE), "No")</f>
        <v>No</v>
      </c>
      <c r="Q2418" s="711"/>
      <c r="S2418" s="670" t="s">
        <v>3311</v>
      </c>
      <c r="T2418" s="668" t="s">
        <v>1039</v>
      </c>
    </row>
    <row r="2419" spans="1:20">
      <c r="A2419" s="679">
        <v>5002540</v>
      </c>
      <c r="B2419" s="677"/>
      <c r="C2419" s="672"/>
      <c r="D2419" s="672"/>
      <c r="E2419" s="676" t="s">
        <v>1137</v>
      </c>
      <c r="F2419" s="680" t="s">
        <v>3325</v>
      </c>
      <c r="G2419" s="710">
        <v>500</v>
      </c>
      <c r="H2419" s="682">
        <v>2540</v>
      </c>
      <c r="J2419" s="668" t="str">
        <f t="shared" si="421"/>
        <v>(3) Other Purchased Services</v>
      </c>
      <c r="L2419" s="668">
        <v>119</v>
      </c>
      <c r="M2419" s="669">
        <v>110</v>
      </c>
      <c r="N2419" s="668"/>
      <c r="O2419" s="668">
        <v>17</v>
      </c>
      <c r="P2419" s="668" t="str">
        <f>IFERROR(VLOOKUP(F2419, [2]MOE!B:C, 2, FALSE), "No")</f>
        <v>No</v>
      </c>
      <c r="Q2419" s="711"/>
      <c r="S2419" s="670" t="s">
        <v>3311</v>
      </c>
      <c r="T2419" s="668" t="s">
        <v>252</v>
      </c>
    </row>
    <row r="2420" spans="1:20">
      <c r="A2420" s="671"/>
      <c r="B2420" s="672"/>
      <c r="C2420" s="672"/>
      <c r="D2420" s="672" t="s">
        <v>850</v>
      </c>
      <c r="E2420" s="676" t="s">
        <v>254</v>
      </c>
      <c r="F2420" s="675"/>
      <c r="G2420" s="672"/>
      <c r="H2420" s="676"/>
      <c r="Q2420" s="711"/>
      <c r="S2420" s="670"/>
    </row>
    <row r="2421" spans="1:20">
      <c r="A2421" s="679">
        <v>6152540</v>
      </c>
      <c r="B2421" s="672"/>
      <c r="C2421" s="672"/>
      <c r="D2421" s="672"/>
      <c r="E2421" s="676" t="s">
        <v>1139</v>
      </c>
      <c r="F2421" s="680" t="s">
        <v>3326</v>
      </c>
      <c r="G2421" s="710">
        <v>615</v>
      </c>
      <c r="H2421" s="682">
        <v>2540</v>
      </c>
      <c r="J2421" s="668" t="str">
        <f t="shared" ref="J2421:J2423" si="422">E2421</f>
        <v>(1) Technology-Related Supplies</v>
      </c>
      <c r="L2421" s="668">
        <v>126</v>
      </c>
      <c r="M2421" s="669">
        <v>117</v>
      </c>
      <c r="N2421" s="668"/>
      <c r="O2421" s="668">
        <v>17</v>
      </c>
      <c r="P2421" s="668" t="str">
        <f>IFERROR(VLOOKUP(F2421, [2]MOE!B:C, 2, FALSE), "No")</f>
        <v>No</v>
      </c>
      <c r="Q2421" s="711" t="s">
        <v>1045</v>
      </c>
      <c r="S2421" s="670" t="s">
        <v>3311</v>
      </c>
      <c r="T2421" s="668" t="s">
        <v>1043</v>
      </c>
    </row>
    <row r="2422" spans="1:20">
      <c r="A2422" s="679">
        <v>6102540</v>
      </c>
      <c r="B2422" s="672"/>
      <c r="C2422" s="672"/>
      <c r="D2422" s="672"/>
      <c r="E2422" s="676" t="s">
        <v>1141</v>
      </c>
      <c r="F2422" s="680" t="s">
        <v>3327</v>
      </c>
      <c r="G2422" s="710">
        <v>610</v>
      </c>
      <c r="H2422" s="682">
        <v>2540</v>
      </c>
      <c r="J2422" s="668" t="str">
        <f t="shared" si="422"/>
        <v>(2) Materials and Supplies</v>
      </c>
      <c r="L2422" s="668">
        <v>122</v>
      </c>
      <c r="M2422" s="669">
        <v>113</v>
      </c>
      <c r="N2422" s="668"/>
      <c r="O2422" s="668">
        <v>17</v>
      </c>
      <c r="P2422" s="668" t="str">
        <f>IFERROR(VLOOKUP(F2422, [2]MOE!B:C, 2, FALSE), "No")</f>
        <v>No</v>
      </c>
      <c r="Q2422" s="711" t="s">
        <v>1045</v>
      </c>
      <c r="S2422" s="670" t="s">
        <v>3311</v>
      </c>
      <c r="T2422" s="668" t="s">
        <v>39</v>
      </c>
    </row>
    <row r="2423" spans="1:20">
      <c r="A2423" s="679">
        <v>6002540</v>
      </c>
      <c r="B2423" s="672"/>
      <c r="C2423" s="672"/>
      <c r="D2423" s="672"/>
      <c r="E2423" s="676" t="s">
        <v>1870</v>
      </c>
      <c r="F2423" s="680" t="s">
        <v>3328</v>
      </c>
      <c r="G2423" s="710">
        <v>600</v>
      </c>
      <c r="H2423" s="682">
        <v>2540</v>
      </c>
      <c r="J2423" s="668" t="str">
        <f t="shared" si="422"/>
        <v>(3) Other Supplies</v>
      </c>
      <c r="L2423" s="668">
        <v>126</v>
      </c>
      <c r="M2423" s="669">
        <v>117</v>
      </c>
      <c r="N2423" s="668"/>
      <c r="O2423" s="668">
        <v>17</v>
      </c>
      <c r="P2423" s="668" t="str">
        <f>IFERROR(VLOOKUP(F2423, [2]MOE!B:C, 2, FALSE), "No")</f>
        <v>No</v>
      </c>
      <c r="Q2423" s="711"/>
      <c r="S2423" s="670" t="s">
        <v>3311</v>
      </c>
      <c r="T2423" s="668" t="s">
        <v>1050</v>
      </c>
    </row>
    <row r="2424" spans="1:20">
      <c r="A2424" s="671"/>
      <c r="B2424" s="672"/>
      <c r="C2424" s="672"/>
      <c r="D2424" s="672" t="s">
        <v>853</v>
      </c>
      <c r="E2424" s="676" t="s">
        <v>1052</v>
      </c>
      <c r="F2424" s="675"/>
      <c r="G2424" s="672"/>
      <c r="H2424" s="676"/>
      <c r="Q2424" s="711"/>
      <c r="S2424" s="670"/>
    </row>
    <row r="2425" spans="1:20">
      <c r="A2425" s="679">
        <v>7342540</v>
      </c>
      <c r="B2425" s="672"/>
      <c r="C2425" s="672"/>
      <c r="D2425" s="672"/>
      <c r="E2425" s="676" t="s">
        <v>1147</v>
      </c>
      <c r="F2425" s="680" t="s">
        <v>3329</v>
      </c>
      <c r="G2425" s="710">
        <v>734</v>
      </c>
      <c r="H2425" s="682">
        <v>2540</v>
      </c>
      <c r="J2425" s="668" t="str">
        <f t="shared" ref="J2425:J2429" si="423">E2425</f>
        <v>(1) Technology-Related Hardware</v>
      </c>
      <c r="L2425" s="668">
        <v>131</v>
      </c>
      <c r="M2425" s="669">
        <v>122</v>
      </c>
      <c r="N2425" s="668"/>
      <c r="O2425" s="668">
        <v>17</v>
      </c>
      <c r="P2425" s="668" t="str">
        <f>IFERROR(VLOOKUP(F2425, [2]MOE!B:C, 2, FALSE), "No")</f>
        <v>No</v>
      </c>
      <c r="Q2425" s="711"/>
      <c r="S2425" s="670" t="s">
        <v>3311</v>
      </c>
      <c r="T2425" s="668" t="s">
        <v>1053</v>
      </c>
    </row>
    <row r="2426" spans="1:20">
      <c r="A2426" s="679">
        <v>7352540</v>
      </c>
      <c r="B2426" s="672"/>
      <c r="C2426" s="672"/>
      <c r="D2426" s="672"/>
      <c r="E2426" s="676" t="s">
        <v>1149</v>
      </c>
      <c r="F2426" s="680" t="s">
        <v>3330</v>
      </c>
      <c r="G2426" s="710">
        <v>735</v>
      </c>
      <c r="H2426" s="682">
        <v>2540</v>
      </c>
      <c r="J2426" s="668" t="str">
        <f t="shared" si="423"/>
        <v>(2) Technology Software</v>
      </c>
      <c r="L2426" s="668">
        <v>131</v>
      </c>
      <c r="M2426" s="669">
        <v>122</v>
      </c>
      <c r="N2426" s="668"/>
      <c r="O2426" s="668">
        <v>17</v>
      </c>
      <c r="P2426" s="668" t="str">
        <f>IFERROR(VLOOKUP(F2426, [2]MOE!B:C, 2, FALSE), "No")</f>
        <v>No</v>
      </c>
      <c r="Q2426" s="711"/>
      <c r="S2426" s="670" t="s">
        <v>3311</v>
      </c>
      <c r="T2426" s="668" t="s">
        <v>1055</v>
      </c>
    </row>
    <row r="2427" spans="1:20">
      <c r="A2427" s="679">
        <v>7302540</v>
      </c>
      <c r="B2427" s="672"/>
      <c r="C2427" s="672"/>
      <c r="D2427" s="672"/>
      <c r="E2427" s="676" t="s">
        <v>1151</v>
      </c>
      <c r="F2427" s="680" t="s">
        <v>3331</v>
      </c>
      <c r="G2427" s="710">
        <v>730</v>
      </c>
      <c r="H2427" s="682">
        <v>2540</v>
      </c>
      <c r="J2427" s="668" t="str">
        <f t="shared" si="423"/>
        <v>(3) All Other Equipment</v>
      </c>
      <c r="L2427" s="668">
        <v>131</v>
      </c>
      <c r="M2427" s="669">
        <v>122</v>
      </c>
      <c r="N2427" s="668"/>
      <c r="O2427" s="668">
        <v>17</v>
      </c>
      <c r="P2427" s="668" t="str">
        <f>IFERROR(VLOOKUP(F2427, [2]MOE!B:C, 2, FALSE), "No")</f>
        <v>No</v>
      </c>
      <c r="Q2427" s="711"/>
      <c r="S2427" s="670" t="s">
        <v>3311</v>
      </c>
      <c r="T2427" s="668" t="s">
        <v>1057</v>
      </c>
    </row>
    <row r="2428" spans="1:20">
      <c r="A2428" s="679">
        <v>7002540</v>
      </c>
      <c r="B2428" s="672"/>
      <c r="C2428" s="672"/>
      <c r="D2428" s="672"/>
      <c r="E2428" s="676" t="s">
        <v>1153</v>
      </c>
      <c r="F2428" s="680" t="s">
        <v>3332</v>
      </c>
      <c r="G2428" s="710">
        <v>700</v>
      </c>
      <c r="H2428" s="682">
        <v>2540</v>
      </c>
      <c r="J2428" s="668" t="str">
        <f t="shared" si="423"/>
        <v>(4) Other Property</v>
      </c>
      <c r="L2428" s="668">
        <v>132</v>
      </c>
      <c r="M2428" s="669">
        <v>123</v>
      </c>
      <c r="N2428" s="668"/>
      <c r="O2428" s="668">
        <v>17</v>
      </c>
      <c r="P2428" s="668" t="str">
        <f>IFERROR(VLOOKUP(F2428, [2]MOE!B:C, 2, FALSE), "No")</f>
        <v>No</v>
      </c>
      <c r="Q2428" s="711"/>
      <c r="S2428" s="670" t="s">
        <v>3311</v>
      </c>
      <c r="T2428" s="668" t="s">
        <v>1059</v>
      </c>
    </row>
    <row r="2429" spans="1:20">
      <c r="A2429" s="679">
        <v>8002540</v>
      </c>
      <c r="B2429" s="672"/>
      <c r="C2429" s="672"/>
      <c r="D2429" s="672" t="s">
        <v>856</v>
      </c>
      <c r="E2429" s="676" t="s">
        <v>3071</v>
      </c>
      <c r="F2429" s="680" t="s">
        <v>3333</v>
      </c>
      <c r="G2429" s="710">
        <v>800</v>
      </c>
      <c r="H2429" s="682">
        <v>2540</v>
      </c>
      <c r="J2429" s="668" t="str">
        <f t="shared" si="423"/>
        <v>Miscellaneous Expenditures</v>
      </c>
      <c r="L2429" s="668">
        <v>139</v>
      </c>
      <c r="M2429" s="669">
        <v>129</v>
      </c>
      <c r="N2429" s="668"/>
      <c r="O2429" s="668">
        <v>17</v>
      </c>
      <c r="P2429" s="668" t="str">
        <f>IFERROR(VLOOKUP(F2429, [2]MOE!B:C, 2, FALSE), "No")</f>
        <v>No</v>
      </c>
      <c r="Q2429" s="711"/>
      <c r="S2429" s="670" t="s">
        <v>3311</v>
      </c>
      <c r="T2429" s="668" t="s">
        <v>3071</v>
      </c>
    </row>
    <row r="2430" spans="1:20">
      <c r="A2430" s="671"/>
      <c r="B2430" s="672"/>
      <c r="C2430" s="672"/>
      <c r="D2430" s="672" t="s">
        <v>859</v>
      </c>
      <c r="E2430" s="676" t="s">
        <v>1065</v>
      </c>
      <c r="F2430" s="675"/>
      <c r="G2430" s="672"/>
      <c r="H2430" s="676"/>
      <c r="Q2430" s="711"/>
      <c r="S2430" s="670"/>
    </row>
    <row r="2431" spans="1:20">
      <c r="A2431" s="679">
        <v>2102540</v>
      </c>
      <c r="B2431" s="672"/>
      <c r="C2431" s="672"/>
      <c r="D2431" s="672"/>
      <c r="E2431" s="676" t="s">
        <v>1159</v>
      </c>
      <c r="F2431" s="680" t="s">
        <v>3334</v>
      </c>
      <c r="G2431" s="710">
        <v>210</v>
      </c>
      <c r="H2431" s="682">
        <v>2540</v>
      </c>
      <c r="J2431" s="668" t="str">
        <f t="shared" ref="J2431:J2433" si="424">E2431</f>
        <v>(1) Group Insurance</v>
      </c>
      <c r="L2431" s="668">
        <v>89</v>
      </c>
      <c r="M2431" s="669">
        <v>84</v>
      </c>
      <c r="N2431" s="668"/>
      <c r="O2431" s="668">
        <v>17</v>
      </c>
      <c r="P2431" s="668" t="str">
        <f>IFERROR(VLOOKUP(F2431, [2]MOE!B:C, 2, FALSE), "No")</f>
        <v>No</v>
      </c>
      <c r="Q2431" s="711"/>
      <c r="S2431" s="670" t="s">
        <v>3311</v>
      </c>
      <c r="T2431" s="668" t="s">
        <v>1066</v>
      </c>
    </row>
    <row r="2432" spans="1:20">
      <c r="A2432" s="679">
        <v>2202540</v>
      </c>
      <c r="B2432" s="672"/>
      <c r="C2432" s="672"/>
      <c r="D2432" s="672"/>
      <c r="E2432" s="676" t="s">
        <v>1161</v>
      </c>
      <c r="F2432" s="680" t="s">
        <v>3335</v>
      </c>
      <c r="G2432" s="710">
        <v>220</v>
      </c>
      <c r="H2432" s="682">
        <v>2540</v>
      </c>
      <c r="J2432" s="668" t="str">
        <f t="shared" si="424"/>
        <v>(2) FICA</v>
      </c>
      <c r="L2432" s="668">
        <v>90</v>
      </c>
      <c r="M2432" s="669">
        <v>85</v>
      </c>
      <c r="N2432" s="668"/>
      <c r="O2432" s="668">
        <v>17</v>
      </c>
      <c r="P2432" s="668" t="str">
        <f>IFERROR(VLOOKUP(F2432, [2]MOE!B:C, 2, FALSE), "No")</f>
        <v>No</v>
      </c>
      <c r="Q2432" s="711"/>
      <c r="S2432" s="670" t="s">
        <v>3311</v>
      </c>
      <c r="T2432" s="668" t="s">
        <v>1068</v>
      </c>
    </row>
    <row r="2433" spans="1:20">
      <c r="A2433" s="679">
        <v>2252540</v>
      </c>
      <c r="B2433" s="672"/>
      <c r="C2433" s="672"/>
      <c r="D2433" s="672"/>
      <c r="E2433" s="676" t="s">
        <v>1163</v>
      </c>
      <c r="F2433" s="680" t="s">
        <v>3336</v>
      </c>
      <c r="G2433" s="710">
        <v>225</v>
      </c>
      <c r="H2433" s="682">
        <v>2540</v>
      </c>
      <c r="J2433" s="668" t="str">
        <f t="shared" si="424"/>
        <v>(3) Medicare</v>
      </c>
      <c r="L2433" s="668">
        <v>91</v>
      </c>
      <c r="M2433" s="669">
        <v>86</v>
      </c>
      <c r="N2433" s="668"/>
      <c r="O2433" s="668">
        <v>17</v>
      </c>
      <c r="P2433" s="668" t="str">
        <f>IFERROR(VLOOKUP(F2433, [2]MOE!B:C, 2, FALSE), "No")</f>
        <v>No</v>
      </c>
      <c r="Q2433" s="711"/>
      <c r="S2433" s="670" t="s">
        <v>3311</v>
      </c>
      <c r="T2433" s="668" t="s">
        <v>23</v>
      </c>
    </row>
    <row r="2434" spans="1:20">
      <c r="A2434" s="671"/>
      <c r="B2434" s="672"/>
      <c r="C2434" s="672"/>
      <c r="D2434" s="672"/>
      <c r="E2434" s="676" t="s">
        <v>1165</v>
      </c>
      <c r="F2434" s="675"/>
      <c r="G2434" s="672"/>
      <c r="H2434" s="676"/>
      <c r="Q2434" s="711"/>
      <c r="S2434" s="670"/>
    </row>
    <row r="2435" spans="1:20">
      <c r="A2435" s="679">
        <v>2312540</v>
      </c>
      <c r="B2435" s="672"/>
      <c r="C2435" s="672"/>
      <c r="D2435" s="672"/>
      <c r="E2435" s="676" t="s">
        <v>1166</v>
      </c>
      <c r="F2435" s="680" t="s">
        <v>3337</v>
      </c>
      <c r="G2435" s="710">
        <v>231</v>
      </c>
      <c r="H2435" s="682">
        <v>2540</v>
      </c>
      <c r="J2435" s="668" t="str">
        <f t="shared" ref="J2435:J2443" si="425">E2435</f>
        <v>(a) Louisiana Teachers Retirement</v>
      </c>
      <c r="L2435" s="668">
        <v>92</v>
      </c>
      <c r="M2435" s="669">
        <v>87</v>
      </c>
      <c r="N2435" s="668"/>
      <c r="O2435" s="668">
        <v>17</v>
      </c>
      <c r="P2435" s="668" t="str">
        <f>IFERROR(VLOOKUP(F2435, [2]MOE!B:C, 2, FALSE), "No")</f>
        <v>No</v>
      </c>
      <c r="Q2435" s="711"/>
      <c r="S2435" s="670" t="s">
        <v>3311</v>
      </c>
      <c r="T2435" s="668" t="s">
        <v>1074</v>
      </c>
    </row>
    <row r="2436" spans="1:20">
      <c r="A2436" s="679">
        <v>2332540</v>
      </c>
      <c r="B2436" s="672"/>
      <c r="C2436" s="672"/>
      <c r="D2436" s="672"/>
      <c r="E2436" s="676" t="s">
        <v>1168</v>
      </c>
      <c r="F2436" s="680" t="s">
        <v>3338</v>
      </c>
      <c r="G2436" s="710">
        <v>233</v>
      </c>
      <c r="H2436" s="682">
        <v>2540</v>
      </c>
      <c r="J2436" s="668" t="str">
        <f t="shared" si="425"/>
        <v>(b) Louisiana School Emp. Retirement</v>
      </c>
      <c r="L2436" s="668">
        <v>92</v>
      </c>
      <c r="M2436" s="669">
        <v>87</v>
      </c>
      <c r="N2436" s="668"/>
      <c r="O2436" s="668">
        <v>17</v>
      </c>
      <c r="P2436" s="668" t="str">
        <f>IFERROR(VLOOKUP(F2436, [2]MOE!B:C, 2, FALSE), "No")</f>
        <v>No</v>
      </c>
      <c r="Q2436" s="711"/>
      <c r="S2436" s="670" t="s">
        <v>3311</v>
      </c>
      <c r="T2436" s="668" t="s">
        <v>1170</v>
      </c>
    </row>
    <row r="2437" spans="1:20">
      <c r="A2437" s="679">
        <v>2392540</v>
      </c>
      <c r="B2437" s="672"/>
      <c r="C2437" s="672"/>
      <c r="D2437" s="672"/>
      <c r="E2437" s="676" t="s">
        <v>1171</v>
      </c>
      <c r="F2437" s="680" t="s">
        <v>3339</v>
      </c>
      <c r="G2437" s="710">
        <v>239</v>
      </c>
      <c r="H2437" s="682">
        <v>2540</v>
      </c>
      <c r="J2437" s="668" t="str">
        <f t="shared" si="425"/>
        <v>(c) Other Retirement</v>
      </c>
      <c r="L2437" s="668">
        <v>92</v>
      </c>
      <c r="M2437" s="669">
        <v>87</v>
      </c>
      <c r="N2437" s="668"/>
      <c r="O2437" s="668">
        <v>17</v>
      </c>
      <c r="P2437" s="668" t="str">
        <f>IFERROR(VLOOKUP(F2437, [2]MOE!B:C, 2, FALSE), "No")</f>
        <v>No</v>
      </c>
      <c r="Q2437" s="711"/>
      <c r="S2437" s="670" t="s">
        <v>3311</v>
      </c>
      <c r="T2437" s="668" t="s">
        <v>1080</v>
      </c>
    </row>
    <row r="2438" spans="1:20">
      <c r="A2438" s="679">
        <v>2502540</v>
      </c>
      <c r="B2438" s="672"/>
      <c r="C2438" s="672"/>
      <c r="D2438" s="672"/>
      <c r="E2438" s="676" t="s">
        <v>1173</v>
      </c>
      <c r="F2438" s="680" t="s">
        <v>3340</v>
      </c>
      <c r="G2438" s="710">
        <v>250</v>
      </c>
      <c r="H2438" s="682">
        <v>2540</v>
      </c>
      <c r="J2438" s="668" t="str">
        <f t="shared" si="425"/>
        <v>(5) Unemployment Compensation</v>
      </c>
      <c r="L2438" s="668">
        <v>93</v>
      </c>
      <c r="M2438" s="669">
        <v>88</v>
      </c>
      <c r="N2438" s="668"/>
      <c r="O2438" s="668">
        <v>17</v>
      </c>
      <c r="P2438" s="668" t="str">
        <f>IFERROR(VLOOKUP(F2438, [2]MOE!B:C, 2, FALSE), "No")</f>
        <v>No</v>
      </c>
      <c r="Q2438" s="711"/>
      <c r="S2438" s="670" t="s">
        <v>3311</v>
      </c>
      <c r="T2438" s="668" t="s">
        <v>1081</v>
      </c>
    </row>
    <row r="2439" spans="1:20">
      <c r="A2439" s="679">
        <v>2602540</v>
      </c>
      <c r="B2439" s="672"/>
      <c r="C2439" s="672"/>
      <c r="D2439" s="672"/>
      <c r="E2439" s="676" t="s">
        <v>1175</v>
      </c>
      <c r="F2439" s="680" t="s">
        <v>3341</v>
      </c>
      <c r="G2439" s="710">
        <v>260</v>
      </c>
      <c r="H2439" s="682">
        <v>2540</v>
      </c>
      <c r="J2439" s="668" t="str">
        <f t="shared" si="425"/>
        <v>(6) Workmen's Compensation</v>
      </c>
      <c r="L2439" s="668">
        <v>95</v>
      </c>
      <c r="M2439" s="669">
        <v>90</v>
      </c>
      <c r="N2439" s="668"/>
      <c r="O2439" s="668">
        <v>17</v>
      </c>
      <c r="P2439" s="668" t="str">
        <f>IFERROR(VLOOKUP(F2439, [2]MOE!B:C, 2, FALSE), "No")</f>
        <v>No</v>
      </c>
      <c r="Q2439" s="711"/>
      <c r="S2439" s="670" t="s">
        <v>3311</v>
      </c>
      <c r="T2439" s="668" t="s">
        <v>1083</v>
      </c>
    </row>
    <row r="2440" spans="1:20">
      <c r="A2440" s="679">
        <v>2702540</v>
      </c>
      <c r="B2440" s="672"/>
      <c r="C2440" s="672"/>
      <c r="D2440" s="672"/>
      <c r="E2440" s="676" t="s">
        <v>1177</v>
      </c>
      <c r="F2440" s="680" t="s">
        <v>3342</v>
      </c>
      <c r="G2440" s="710">
        <v>270</v>
      </c>
      <c r="H2440" s="682">
        <v>2540</v>
      </c>
      <c r="J2440" s="668" t="str">
        <f t="shared" si="425"/>
        <v>(7) Health Benefits (retirees)</v>
      </c>
      <c r="L2440" s="668">
        <v>94</v>
      </c>
      <c r="M2440" s="669">
        <v>89</v>
      </c>
      <c r="N2440" s="668"/>
      <c r="O2440" s="668">
        <v>17</v>
      </c>
      <c r="P2440" s="668" t="str">
        <f>IFERROR(VLOOKUP(F2440, [2]MOE!B:C, 2, FALSE), "No")</f>
        <v>No</v>
      </c>
      <c r="Q2440" s="711"/>
      <c r="S2440" s="670" t="s">
        <v>3311</v>
      </c>
      <c r="T2440" s="668" t="s">
        <v>1085</v>
      </c>
    </row>
    <row r="2441" spans="1:20">
      <c r="A2441" s="679">
        <v>2812540</v>
      </c>
      <c r="B2441" s="672"/>
      <c r="C2441" s="672"/>
      <c r="D2441" s="672"/>
      <c r="E2441" s="676" t="s">
        <v>1179</v>
      </c>
      <c r="F2441" s="680" t="s">
        <v>3343</v>
      </c>
      <c r="G2441" s="710">
        <v>281</v>
      </c>
      <c r="H2441" s="682">
        <v>2540</v>
      </c>
      <c r="J2441" s="668" t="str">
        <f t="shared" si="425"/>
        <v>(8) Sick Leave Severance Pay</v>
      </c>
      <c r="L2441" s="668">
        <v>95</v>
      </c>
      <c r="M2441" s="669">
        <v>90</v>
      </c>
      <c r="N2441" s="668"/>
      <c r="O2441" s="668">
        <v>17</v>
      </c>
      <c r="P2441" s="668" t="str">
        <f>IFERROR(VLOOKUP(F2441, [2]MOE!B:C, 2, FALSE), "No")</f>
        <v>No</v>
      </c>
      <c r="Q2441" s="711"/>
      <c r="S2441" s="670" t="s">
        <v>3311</v>
      </c>
      <c r="T2441" s="668" t="s">
        <v>1087</v>
      </c>
    </row>
    <row r="2442" spans="1:20">
      <c r="A2442" s="679">
        <v>2822540</v>
      </c>
      <c r="B2442" s="672"/>
      <c r="C2442" s="672"/>
      <c r="D2442" s="672"/>
      <c r="E2442" s="676" t="s">
        <v>1181</v>
      </c>
      <c r="F2442" s="680" t="s">
        <v>3344</v>
      </c>
      <c r="G2442" s="710">
        <v>282</v>
      </c>
      <c r="H2442" s="682">
        <v>2540</v>
      </c>
      <c r="J2442" s="668" t="str">
        <f t="shared" si="425"/>
        <v>(9) Annual Leave Severance Pay</v>
      </c>
      <c r="L2442" s="668">
        <v>95</v>
      </c>
      <c r="M2442" s="669">
        <v>90</v>
      </c>
      <c r="N2442" s="668"/>
      <c r="O2442" s="668">
        <v>17</v>
      </c>
      <c r="P2442" s="668" t="str">
        <f>IFERROR(VLOOKUP(F2442, [2]MOE!B:C, 2, FALSE), "No")</f>
        <v>No</v>
      </c>
      <c r="Q2442" s="711"/>
      <c r="S2442" s="670" t="s">
        <v>3311</v>
      </c>
      <c r="T2442" s="668" t="s">
        <v>1089</v>
      </c>
    </row>
    <row r="2443" spans="1:20">
      <c r="A2443" s="679">
        <v>2902540</v>
      </c>
      <c r="B2443" s="672"/>
      <c r="C2443" s="672"/>
      <c r="D2443" s="672"/>
      <c r="E2443" s="676" t="s">
        <v>1183</v>
      </c>
      <c r="F2443" s="680" t="s">
        <v>3345</v>
      </c>
      <c r="G2443" s="710">
        <v>290</v>
      </c>
      <c r="H2443" s="682">
        <v>2540</v>
      </c>
      <c r="J2443" s="668" t="str">
        <f t="shared" si="425"/>
        <v>(10) Other Employee Benefits</v>
      </c>
      <c r="L2443" s="668">
        <v>95</v>
      </c>
      <c r="M2443" s="669">
        <v>90</v>
      </c>
      <c r="N2443" s="668"/>
      <c r="O2443" s="668">
        <v>17</v>
      </c>
      <c r="P2443" s="668" t="str">
        <f>IFERROR(VLOOKUP(F2443, [2]MOE!B:C, 2, FALSE), "No")</f>
        <v>No</v>
      </c>
      <c r="Q2443" s="711"/>
      <c r="S2443" s="670" t="s">
        <v>3311</v>
      </c>
      <c r="T2443" s="668" t="s">
        <v>1092</v>
      </c>
    </row>
    <row r="2444" spans="1:20">
      <c r="A2444" s="671"/>
      <c r="B2444" s="672"/>
      <c r="C2444" s="678">
        <v>74</v>
      </c>
      <c r="D2444" s="925" t="s">
        <v>3346</v>
      </c>
      <c r="E2444" s="926"/>
      <c r="F2444" s="675"/>
      <c r="G2444" s="672"/>
      <c r="H2444" s="676"/>
      <c r="Q2444" s="711"/>
      <c r="S2444" s="670"/>
    </row>
    <row r="2445" spans="1:20">
      <c r="A2445" s="671"/>
      <c r="B2445" s="672"/>
      <c r="C2445" s="672"/>
      <c r="D2445" s="672" t="s">
        <v>759</v>
      </c>
      <c r="E2445" s="676" t="s">
        <v>244</v>
      </c>
      <c r="F2445" s="675"/>
      <c r="G2445" s="672"/>
      <c r="H2445" s="676"/>
      <c r="Q2445" s="711"/>
      <c r="S2445" s="670"/>
    </row>
    <row r="2446" spans="1:20">
      <c r="A2446" s="679">
        <v>1112590</v>
      </c>
      <c r="B2446" s="672"/>
      <c r="C2446" s="672"/>
      <c r="D2446" s="672"/>
      <c r="E2446" s="676" t="s">
        <v>1845</v>
      </c>
      <c r="F2446" s="680" t="s">
        <v>3347</v>
      </c>
      <c r="G2446" s="710">
        <v>111</v>
      </c>
      <c r="H2446" s="682">
        <v>2590</v>
      </c>
      <c r="J2446" s="668" t="str">
        <f t="shared" ref="J2446:J2449" si="426">E2446</f>
        <v>(1) Supervisors</v>
      </c>
      <c r="L2446" s="668">
        <v>81</v>
      </c>
      <c r="M2446" s="669">
        <v>76</v>
      </c>
      <c r="N2446" s="668"/>
      <c r="O2446" s="668">
        <v>17</v>
      </c>
      <c r="P2446" s="668" t="str">
        <f>IFERROR(VLOOKUP(F2446, [2]MOE!B:C, 2, FALSE), "No")</f>
        <v>No</v>
      </c>
      <c r="Q2446" s="711"/>
      <c r="S2446" s="670" t="s">
        <v>3346</v>
      </c>
      <c r="T2446" s="668" t="s">
        <v>1848</v>
      </c>
    </row>
    <row r="2447" spans="1:20">
      <c r="A2447" s="679">
        <v>1142590</v>
      </c>
      <c r="B2447" s="672"/>
      <c r="C2447" s="672"/>
      <c r="D2447" s="672"/>
      <c r="E2447" s="676" t="s">
        <v>3197</v>
      </c>
      <c r="F2447" s="680" t="s">
        <v>3348</v>
      </c>
      <c r="G2447" s="710">
        <v>114</v>
      </c>
      <c r="H2447" s="682">
        <v>2590</v>
      </c>
      <c r="J2447" s="668" t="str">
        <f t="shared" si="426"/>
        <v>(2) Clerical/Secretarial</v>
      </c>
      <c r="L2447" s="668">
        <v>84</v>
      </c>
      <c r="M2447" s="669">
        <v>79</v>
      </c>
      <c r="N2447" s="668"/>
      <c r="O2447" s="668">
        <v>17</v>
      </c>
      <c r="P2447" s="668" t="str">
        <f>IFERROR(VLOOKUP(F2447, [2]MOE!B:C, 2, FALSE), "No")</f>
        <v>No</v>
      </c>
      <c r="Q2447" s="711"/>
      <c r="S2447" s="670" t="s">
        <v>3346</v>
      </c>
      <c r="T2447" s="668" t="s">
        <v>1854</v>
      </c>
    </row>
    <row r="2448" spans="1:20">
      <c r="A2448" s="679">
        <v>1002590</v>
      </c>
      <c r="B2448" s="672"/>
      <c r="C2448" s="672"/>
      <c r="D2448" s="672"/>
      <c r="E2448" s="676" t="s">
        <v>3349</v>
      </c>
      <c r="F2448" s="680" t="s">
        <v>3350</v>
      </c>
      <c r="G2448" s="710">
        <v>100</v>
      </c>
      <c r="H2448" s="682">
        <v>2590</v>
      </c>
      <c r="J2448" s="668" t="str">
        <f t="shared" si="426"/>
        <v>(3) Other Salaries</v>
      </c>
      <c r="L2448" s="668">
        <v>86</v>
      </c>
      <c r="M2448" s="669">
        <v>81</v>
      </c>
      <c r="N2448" s="668"/>
      <c r="O2448" s="668">
        <v>17</v>
      </c>
      <c r="P2448" s="668" t="str">
        <f>IFERROR(VLOOKUP(F2448, [2]MOE!B:C, 2, FALSE), "No")</f>
        <v>No</v>
      </c>
      <c r="Q2448" s="711"/>
      <c r="S2448" s="670" t="s">
        <v>3346</v>
      </c>
      <c r="T2448" s="668" t="s">
        <v>1947</v>
      </c>
    </row>
    <row r="2449" spans="1:20">
      <c r="A2449" s="679">
        <v>3002590</v>
      </c>
      <c r="B2449" s="672"/>
      <c r="C2449" s="672"/>
      <c r="D2449" s="672" t="s">
        <v>777</v>
      </c>
      <c r="E2449" s="676" t="s">
        <v>1113</v>
      </c>
      <c r="F2449" s="680" t="s">
        <v>3351</v>
      </c>
      <c r="G2449" s="710">
        <v>300</v>
      </c>
      <c r="H2449" s="682">
        <v>2590</v>
      </c>
      <c r="J2449" s="668" t="str">
        <f t="shared" si="426"/>
        <v>Purchased Professional and Technical Svcs</v>
      </c>
      <c r="L2449" s="668">
        <v>101</v>
      </c>
      <c r="M2449" s="669">
        <v>96</v>
      </c>
      <c r="N2449" s="668"/>
      <c r="O2449" s="668">
        <v>17</v>
      </c>
      <c r="P2449" s="668" t="str">
        <f>IFERROR(VLOOKUP(F2449, [2]MOE!B:C, 2, FALSE), "No")</f>
        <v>No</v>
      </c>
      <c r="Q2449" s="711"/>
      <c r="S2449" s="670" t="s">
        <v>3346</v>
      </c>
      <c r="T2449" s="668" t="s">
        <v>1113</v>
      </c>
    </row>
    <row r="2450" spans="1:20">
      <c r="A2450" s="671"/>
      <c r="B2450" s="672"/>
      <c r="C2450" s="672"/>
      <c r="D2450" s="672" t="s">
        <v>801</v>
      </c>
      <c r="E2450" s="676" t="s">
        <v>250</v>
      </c>
      <c r="F2450" s="675"/>
      <c r="G2450" s="672"/>
      <c r="H2450" s="676"/>
      <c r="Q2450" s="711"/>
      <c r="S2450" s="670"/>
    </row>
    <row r="2451" spans="1:20">
      <c r="A2451" s="679">
        <v>4302590</v>
      </c>
      <c r="B2451" s="672"/>
      <c r="C2451" s="672"/>
      <c r="D2451" s="672"/>
      <c r="E2451" s="676" t="s">
        <v>1115</v>
      </c>
      <c r="F2451" s="680" t="s">
        <v>3352</v>
      </c>
      <c r="G2451" s="710">
        <v>430</v>
      </c>
      <c r="H2451" s="682">
        <v>2590</v>
      </c>
      <c r="J2451" s="668" t="str">
        <f t="shared" ref="J2451:J2453" si="427">E2451</f>
        <v>(1) Repairs and Maintenance Services</v>
      </c>
      <c r="L2451" s="668">
        <v>107</v>
      </c>
      <c r="M2451" s="669">
        <v>102</v>
      </c>
      <c r="N2451" s="668"/>
      <c r="O2451" s="668">
        <v>17</v>
      </c>
      <c r="P2451" s="668" t="str">
        <f>IFERROR(VLOOKUP(F2451, [2]MOE!B:C, 2, FALSE), "No")</f>
        <v>No</v>
      </c>
      <c r="Q2451" s="711"/>
      <c r="S2451" s="670" t="s">
        <v>3346</v>
      </c>
      <c r="T2451" s="668" t="s">
        <v>1023</v>
      </c>
    </row>
    <row r="2452" spans="1:20">
      <c r="A2452" s="679">
        <v>4422590</v>
      </c>
      <c r="B2452" s="672"/>
      <c r="C2452" s="672"/>
      <c r="D2452" s="672"/>
      <c r="E2452" s="676" t="s">
        <v>1382</v>
      </c>
      <c r="F2452" s="680" t="s">
        <v>3353</v>
      </c>
      <c r="G2452" s="710">
        <v>442</v>
      </c>
      <c r="H2452" s="682">
        <v>2590</v>
      </c>
      <c r="J2452" s="668" t="str">
        <f t="shared" si="427"/>
        <v>(2) Rental of Equipment and Vehicles</v>
      </c>
      <c r="L2452" s="668">
        <v>106</v>
      </c>
      <c r="M2452" s="669">
        <v>101</v>
      </c>
      <c r="N2452" s="668"/>
      <c r="O2452" s="668">
        <v>17</v>
      </c>
      <c r="P2452" s="668" t="str">
        <f>IFERROR(VLOOKUP(F2452, [2]MOE!B:C, 2, FALSE), "No")</f>
        <v>No</v>
      </c>
      <c r="Q2452" s="711"/>
      <c r="S2452" s="670" t="s">
        <v>3346</v>
      </c>
      <c r="T2452" s="668" t="s">
        <v>1384</v>
      </c>
    </row>
    <row r="2453" spans="1:20">
      <c r="A2453" s="679">
        <v>4002590</v>
      </c>
      <c r="B2453" s="672"/>
      <c r="C2453" s="672"/>
      <c r="D2453" s="672"/>
      <c r="E2453" s="676" t="s">
        <v>1119</v>
      </c>
      <c r="F2453" s="680" t="s">
        <v>3354</v>
      </c>
      <c r="G2453" s="710">
        <v>400</v>
      </c>
      <c r="H2453" s="682">
        <v>2590</v>
      </c>
      <c r="J2453" s="668" t="str">
        <f t="shared" si="427"/>
        <v>(3) Other Purchased Property Services</v>
      </c>
      <c r="L2453" s="668">
        <v>108</v>
      </c>
      <c r="M2453" s="669">
        <v>103</v>
      </c>
      <c r="N2453" s="668"/>
      <c r="O2453" s="668">
        <v>17</v>
      </c>
      <c r="P2453" s="668" t="str">
        <f>IFERROR(VLOOKUP(F2453, [2]MOE!B:C, 2, FALSE), "No")</f>
        <v>No</v>
      </c>
      <c r="Q2453" s="711"/>
      <c r="S2453" s="670" t="s">
        <v>3346</v>
      </c>
      <c r="T2453" s="668" t="s">
        <v>1027</v>
      </c>
    </row>
    <row r="2454" spans="1:20">
      <c r="A2454" s="671"/>
      <c r="B2454" s="672"/>
      <c r="C2454" s="672"/>
      <c r="D2454" s="672" t="s">
        <v>805</v>
      </c>
      <c r="E2454" s="676" t="s">
        <v>252</v>
      </c>
      <c r="F2454" s="675"/>
      <c r="G2454" s="672"/>
      <c r="H2454" s="676"/>
      <c r="Q2454" s="711"/>
      <c r="S2454" s="670"/>
    </row>
    <row r="2455" spans="1:20">
      <c r="A2455" s="679">
        <v>5502590</v>
      </c>
      <c r="B2455" s="672"/>
      <c r="C2455" s="672"/>
      <c r="D2455" s="672"/>
      <c r="E2455" s="676" t="s">
        <v>3321</v>
      </c>
      <c r="F2455" s="680" t="s">
        <v>3355</v>
      </c>
      <c r="G2455" s="710">
        <v>550</v>
      </c>
      <c r="H2455" s="682">
        <v>2590</v>
      </c>
      <c r="J2455" s="668" t="str">
        <f t="shared" ref="J2455:J2457" si="428">E2455</f>
        <v>(1) Printing and Binding</v>
      </c>
      <c r="L2455" s="668">
        <v>119</v>
      </c>
      <c r="M2455" s="669">
        <v>110</v>
      </c>
      <c r="N2455" s="668"/>
      <c r="O2455" s="668">
        <v>17</v>
      </c>
      <c r="P2455" s="668" t="str">
        <f>IFERROR(VLOOKUP(F2455, [2]MOE!B:C, 2, FALSE), "No")</f>
        <v>No</v>
      </c>
      <c r="Q2455" s="711"/>
      <c r="S2455" s="670" t="s">
        <v>3346</v>
      </c>
      <c r="T2455" s="668" t="s">
        <v>3323</v>
      </c>
    </row>
    <row r="2456" spans="1:20">
      <c r="A2456" s="679">
        <v>5822590</v>
      </c>
      <c r="B2456" s="672"/>
      <c r="C2456" s="672"/>
      <c r="D2456" s="672"/>
      <c r="E2456" s="676" t="s">
        <v>1135</v>
      </c>
      <c r="F2456" s="680" t="s">
        <v>3356</v>
      </c>
      <c r="G2456" s="710">
        <v>582</v>
      </c>
      <c r="H2456" s="682">
        <v>2590</v>
      </c>
      <c r="J2456" s="668" t="str">
        <f t="shared" si="428"/>
        <v>(2) Travel Expense Reimbursement</v>
      </c>
      <c r="L2456" s="668">
        <v>118</v>
      </c>
      <c r="M2456" s="669">
        <v>109</v>
      </c>
      <c r="N2456" s="668"/>
      <c r="O2456" s="668">
        <v>17</v>
      </c>
      <c r="P2456" s="668" t="str">
        <f>IFERROR(VLOOKUP(F2456, [2]MOE!B:C, 2, FALSE), "No")</f>
        <v>No</v>
      </c>
      <c r="Q2456" s="711"/>
      <c r="S2456" s="670" t="s">
        <v>3346</v>
      </c>
      <c r="T2456" s="668" t="s">
        <v>1039</v>
      </c>
    </row>
    <row r="2457" spans="1:20">
      <c r="A2457" s="679">
        <v>5002590</v>
      </c>
      <c r="B2457" s="672"/>
      <c r="C2457" s="672"/>
      <c r="D2457" s="672"/>
      <c r="E2457" s="676" t="s">
        <v>1137</v>
      </c>
      <c r="F2457" s="680" t="s">
        <v>3357</v>
      </c>
      <c r="G2457" s="710">
        <v>500</v>
      </c>
      <c r="H2457" s="682">
        <v>2590</v>
      </c>
      <c r="J2457" s="668" t="str">
        <f t="shared" si="428"/>
        <v>(3) Other Purchased Services</v>
      </c>
      <c r="L2457" s="668">
        <v>119</v>
      </c>
      <c r="M2457" s="669">
        <v>110</v>
      </c>
      <c r="N2457" s="668"/>
      <c r="O2457" s="668">
        <v>17</v>
      </c>
      <c r="P2457" s="668" t="str">
        <f>IFERROR(VLOOKUP(F2457, [2]MOE!B:C, 2, FALSE), "No")</f>
        <v>No</v>
      </c>
      <c r="Q2457" s="711"/>
      <c r="S2457" s="670" t="s">
        <v>3346</v>
      </c>
      <c r="T2457" s="668" t="s">
        <v>252</v>
      </c>
    </row>
    <row r="2458" spans="1:20">
      <c r="A2458" s="671"/>
      <c r="B2458" s="672"/>
      <c r="C2458" s="672"/>
      <c r="D2458" s="672" t="s">
        <v>850</v>
      </c>
      <c r="E2458" s="676" t="s">
        <v>254</v>
      </c>
      <c r="F2458" s="675"/>
      <c r="G2458" s="672"/>
      <c r="H2458" s="676"/>
      <c r="Q2458" s="711"/>
      <c r="S2458" s="670"/>
    </row>
    <row r="2459" spans="1:20">
      <c r="A2459" s="679">
        <v>6152590</v>
      </c>
      <c r="B2459" s="672"/>
      <c r="C2459" s="672"/>
      <c r="D2459" s="672"/>
      <c r="E2459" s="676" t="s">
        <v>1139</v>
      </c>
      <c r="F2459" s="680" t="s">
        <v>3358</v>
      </c>
      <c r="G2459" s="710">
        <v>615</v>
      </c>
      <c r="H2459" s="682">
        <v>2590</v>
      </c>
      <c r="J2459" s="668" t="str">
        <f t="shared" ref="J2459:J2461" si="429">E2459</f>
        <v>(1) Technology-Related Supplies</v>
      </c>
      <c r="L2459" s="668">
        <v>126</v>
      </c>
      <c r="M2459" s="669">
        <v>117</v>
      </c>
      <c r="N2459" s="668"/>
      <c r="O2459" s="668">
        <v>17</v>
      </c>
      <c r="P2459" s="668" t="str">
        <f>IFERROR(VLOOKUP(F2459, [2]MOE!B:C, 2, FALSE), "No")</f>
        <v>No</v>
      </c>
      <c r="Q2459" s="711" t="s">
        <v>1045</v>
      </c>
      <c r="S2459" s="670" t="s">
        <v>3346</v>
      </c>
      <c r="T2459" s="668" t="s">
        <v>1043</v>
      </c>
    </row>
    <row r="2460" spans="1:20">
      <c r="A2460" s="679">
        <v>6102590</v>
      </c>
      <c r="B2460" s="672"/>
      <c r="C2460" s="672"/>
      <c r="D2460" s="672"/>
      <c r="E2460" s="676" t="s">
        <v>1141</v>
      </c>
      <c r="F2460" s="680" t="s">
        <v>3359</v>
      </c>
      <c r="G2460" s="710">
        <v>610</v>
      </c>
      <c r="H2460" s="682">
        <v>2590</v>
      </c>
      <c r="J2460" s="668" t="str">
        <f t="shared" si="429"/>
        <v>(2) Materials and Supplies</v>
      </c>
      <c r="L2460" s="668">
        <v>122</v>
      </c>
      <c r="M2460" s="669">
        <v>113</v>
      </c>
      <c r="N2460" s="668"/>
      <c r="O2460" s="668">
        <v>17</v>
      </c>
      <c r="P2460" s="668" t="str">
        <f>IFERROR(VLOOKUP(F2460, [2]MOE!B:C, 2, FALSE), "No")</f>
        <v>No</v>
      </c>
      <c r="Q2460" s="711" t="s">
        <v>1045</v>
      </c>
      <c r="S2460" s="670" t="s">
        <v>3346</v>
      </c>
      <c r="T2460" s="668" t="s">
        <v>39</v>
      </c>
    </row>
    <row r="2461" spans="1:20">
      <c r="A2461" s="679">
        <v>6002590</v>
      </c>
      <c r="B2461" s="672"/>
      <c r="C2461" s="672"/>
      <c r="D2461" s="672"/>
      <c r="E2461" s="676" t="s">
        <v>1870</v>
      </c>
      <c r="F2461" s="680" t="s">
        <v>3360</v>
      </c>
      <c r="G2461" s="710">
        <v>600</v>
      </c>
      <c r="H2461" s="682">
        <v>2590</v>
      </c>
      <c r="J2461" s="668" t="str">
        <f t="shared" si="429"/>
        <v>(3) Other Supplies</v>
      </c>
      <c r="L2461" s="668">
        <v>126</v>
      </c>
      <c r="M2461" s="669">
        <v>117</v>
      </c>
      <c r="N2461" s="668"/>
      <c r="O2461" s="668">
        <v>17</v>
      </c>
      <c r="P2461" s="668" t="str">
        <f>IFERROR(VLOOKUP(F2461, [2]MOE!B:C, 2, FALSE), "No")</f>
        <v>No</v>
      </c>
      <c r="Q2461" s="711"/>
      <c r="S2461" s="670" t="s">
        <v>3346</v>
      </c>
      <c r="T2461" s="668" t="s">
        <v>1050</v>
      </c>
    </row>
    <row r="2462" spans="1:20">
      <c r="A2462" s="671"/>
      <c r="B2462" s="672"/>
      <c r="C2462" s="672"/>
      <c r="D2462" s="672" t="s">
        <v>853</v>
      </c>
      <c r="E2462" s="676" t="s">
        <v>1052</v>
      </c>
      <c r="F2462" s="675"/>
      <c r="G2462" s="672"/>
      <c r="H2462" s="676"/>
      <c r="Q2462" s="711"/>
      <c r="S2462" s="670"/>
    </row>
    <row r="2463" spans="1:20">
      <c r="A2463" s="679">
        <v>7342590</v>
      </c>
      <c r="B2463" s="672"/>
      <c r="C2463" s="672"/>
      <c r="D2463" s="672"/>
      <c r="E2463" s="676" t="s">
        <v>1147</v>
      </c>
      <c r="F2463" s="680" t="s">
        <v>3361</v>
      </c>
      <c r="G2463" s="710">
        <v>734</v>
      </c>
      <c r="H2463" s="682">
        <v>2590</v>
      </c>
      <c r="J2463" s="668" t="str">
        <f t="shared" ref="J2463:J2467" si="430">E2463</f>
        <v>(1) Technology-Related Hardware</v>
      </c>
      <c r="L2463" s="668">
        <v>131</v>
      </c>
      <c r="M2463" s="669">
        <v>122</v>
      </c>
      <c r="N2463" s="668"/>
      <c r="O2463" s="668">
        <v>17</v>
      </c>
      <c r="P2463" s="668" t="str">
        <f>IFERROR(VLOOKUP(F2463, [2]MOE!B:C, 2, FALSE), "No")</f>
        <v>No</v>
      </c>
      <c r="Q2463" s="711"/>
      <c r="S2463" s="670" t="s">
        <v>3346</v>
      </c>
      <c r="T2463" s="668" t="s">
        <v>1053</v>
      </c>
    </row>
    <row r="2464" spans="1:20">
      <c r="A2464" s="679">
        <v>7352590</v>
      </c>
      <c r="B2464" s="672"/>
      <c r="C2464" s="672"/>
      <c r="D2464" s="672"/>
      <c r="E2464" s="676" t="s">
        <v>1149</v>
      </c>
      <c r="F2464" s="680" t="s">
        <v>3362</v>
      </c>
      <c r="G2464" s="710">
        <v>735</v>
      </c>
      <c r="H2464" s="682">
        <v>2590</v>
      </c>
      <c r="J2464" s="668" t="str">
        <f t="shared" si="430"/>
        <v>(2) Technology Software</v>
      </c>
      <c r="L2464" s="668">
        <v>131</v>
      </c>
      <c r="M2464" s="669">
        <v>122</v>
      </c>
      <c r="N2464" s="668"/>
      <c r="O2464" s="668">
        <v>17</v>
      </c>
      <c r="P2464" s="668" t="str">
        <f>IFERROR(VLOOKUP(F2464, [2]MOE!B:C, 2, FALSE), "No")</f>
        <v>No</v>
      </c>
      <c r="Q2464" s="711"/>
      <c r="S2464" s="670" t="s">
        <v>3346</v>
      </c>
      <c r="T2464" s="668" t="s">
        <v>1055</v>
      </c>
    </row>
    <row r="2465" spans="1:20">
      <c r="A2465" s="679">
        <v>7302590</v>
      </c>
      <c r="B2465" s="672"/>
      <c r="C2465" s="672"/>
      <c r="D2465" s="672"/>
      <c r="E2465" s="676" t="s">
        <v>1151</v>
      </c>
      <c r="F2465" s="680" t="s">
        <v>3363</v>
      </c>
      <c r="G2465" s="710">
        <v>730</v>
      </c>
      <c r="H2465" s="682">
        <v>2590</v>
      </c>
      <c r="J2465" s="668" t="str">
        <f t="shared" si="430"/>
        <v>(3) All Other Equipment</v>
      </c>
      <c r="L2465" s="668">
        <v>131</v>
      </c>
      <c r="M2465" s="669">
        <v>122</v>
      </c>
      <c r="N2465" s="668"/>
      <c r="O2465" s="668">
        <v>17</v>
      </c>
      <c r="P2465" s="668" t="str">
        <f>IFERROR(VLOOKUP(F2465, [2]MOE!B:C, 2, FALSE), "No")</f>
        <v>No</v>
      </c>
      <c r="Q2465" s="711"/>
      <c r="S2465" s="670" t="s">
        <v>3346</v>
      </c>
      <c r="T2465" s="668" t="s">
        <v>1057</v>
      </c>
    </row>
    <row r="2466" spans="1:20">
      <c r="A2466" s="679">
        <v>7002590</v>
      </c>
      <c r="B2466" s="672"/>
      <c r="C2466" s="672"/>
      <c r="D2466" s="672"/>
      <c r="E2466" s="676" t="s">
        <v>1153</v>
      </c>
      <c r="F2466" s="680" t="s">
        <v>3364</v>
      </c>
      <c r="G2466" s="710">
        <v>700</v>
      </c>
      <c r="H2466" s="682">
        <v>2590</v>
      </c>
      <c r="J2466" s="668" t="str">
        <f t="shared" si="430"/>
        <v>(4) Other Property</v>
      </c>
      <c r="L2466" s="668">
        <v>132</v>
      </c>
      <c r="M2466" s="669">
        <v>123</v>
      </c>
      <c r="N2466" s="668"/>
      <c r="O2466" s="668">
        <v>17</v>
      </c>
      <c r="P2466" s="668" t="str">
        <f>IFERROR(VLOOKUP(F2466, [2]MOE!B:C, 2, FALSE), "No")</f>
        <v>No</v>
      </c>
      <c r="Q2466" s="711"/>
      <c r="S2466" s="670" t="s">
        <v>3346</v>
      </c>
      <c r="T2466" s="668" t="s">
        <v>1059</v>
      </c>
    </row>
    <row r="2467" spans="1:20">
      <c r="A2467" s="679">
        <v>8002590</v>
      </c>
      <c r="B2467" s="672"/>
      <c r="C2467" s="672"/>
      <c r="D2467" s="672" t="s">
        <v>856</v>
      </c>
      <c r="E2467" s="676" t="s">
        <v>3071</v>
      </c>
      <c r="F2467" s="680" t="s">
        <v>3365</v>
      </c>
      <c r="G2467" s="710">
        <v>800</v>
      </c>
      <c r="H2467" s="682">
        <v>2590</v>
      </c>
      <c r="J2467" s="668" t="str">
        <f t="shared" si="430"/>
        <v>Miscellaneous Expenditures</v>
      </c>
      <c r="L2467" s="668">
        <v>139</v>
      </c>
      <c r="M2467" s="669">
        <v>129</v>
      </c>
      <c r="N2467" s="668"/>
      <c r="O2467" s="668">
        <v>17</v>
      </c>
      <c r="P2467" s="668" t="str">
        <f>IFERROR(VLOOKUP(F2467, [2]MOE!B:C, 2, FALSE), "No")</f>
        <v>No</v>
      </c>
      <c r="Q2467" s="711"/>
      <c r="S2467" s="670" t="s">
        <v>3346</v>
      </c>
      <c r="T2467" s="668" t="s">
        <v>3071</v>
      </c>
    </row>
    <row r="2468" spans="1:20">
      <c r="A2468" s="671"/>
      <c r="B2468" s="672"/>
      <c r="C2468" s="672"/>
      <c r="D2468" s="672" t="s">
        <v>859</v>
      </c>
      <c r="E2468" s="676" t="s">
        <v>1065</v>
      </c>
      <c r="F2468" s="675"/>
      <c r="G2468" s="672"/>
      <c r="H2468" s="676"/>
      <c r="Q2468" s="711"/>
      <c r="S2468" s="670"/>
    </row>
    <row r="2469" spans="1:20">
      <c r="A2469" s="679">
        <v>2102590</v>
      </c>
      <c r="B2469" s="672"/>
      <c r="C2469" s="672"/>
      <c r="D2469" s="672"/>
      <c r="E2469" s="676" t="s">
        <v>1159</v>
      </c>
      <c r="F2469" s="680" t="s">
        <v>3366</v>
      </c>
      <c r="G2469" s="710">
        <v>210</v>
      </c>
      <c r="H2469" s="682">
        <v>2590</v>
      </c>
      <c r="J2469" s="668" t="str">
        <f t="shared" ref="J2469:J2471" si="431">E2469</f>
        <v>(1) Group Insurance</v>
      </c>
      <c r="L2469" s="668">
        <v>89</v>
      </c>
      <c r="M2469" s="669">
        <v>84</v>
      </c>
      <c r="N2469" s="668"/>
      <c r="O2469" s="668">
        <v>17</v>
      </c>
      <c r="P2469" s="668" t="str">
        <f>IFERROR(VLOOKUP(F2469, [2]MOE!B:C, 2, FALSE), "No")</f>
        <v>No</v>
      </c>
      <c r="Q2469" s="711"/>
      <c r="S2469" s="670" t="s">
        <v>3346</v>
      </c>
      <c r="T2469" s="668" t="s">
        <v>1066</v>
      </c>
    </row>
    <row r="2470" spans="1:20">
      <c r="A2470" s="679">
        <v>2202590</v>
      </c>
      <c r="B2470" s="672"/>
      <c r="C2470" s="672"/>
      <c r="D2470" s="672"/>
      <c r="E2470" s="676" t="s">
        <v>1161</v>
      </c>
      <c r="F2470" s="680" t="s">
        <v>3367</v>
      </c>
      <c r="G2470" s="710">
        <v>220</v>
      </c>
      <c r="H2470" s="682">
        <v>2590</v>
      </c>
      <c r="J2470" s="668" t="str">
        <f t="shared" si="431"/>
        <v>(2) FICA</v>
      </c>
      <c r="L2470" s="668">
        <v>90</v>
      </c>
      <c r="M2470" s="669">
        <v>85</v>
      </c>
      <c r="N2470" s="668"/>
      <c r="O2470" s="668">
        <v>17</v>
      </c>
      <c r="P2470" s="668" t="str">
        <f>IFERROR(VLOOKUP(F2470, [2]MOE!B:C, 2, FALSE), "No")</f>
        <v>No</v>
      </c>
      <c r="Q2470" s="711"/>
      <c r="S2470" s="670" t="s">
        <v>3346</v>
      </c>
      <c r="T2470" s="668" t="s">
        <v>1068</v>
      </c>
    </row>
    <row r="2471" spans="1:20">
      <c r="A2471" s="679">
        <v>2252590</v>
      </c>
      <c r="B2471" s="672"/>
      <c r="C2471" s="672"/>
      <c r="D2471" s="672"/>
      <c r="E2471" s="676" t="s">
        <v>1163</v>
      </c>
      <c r="F2471" s="680" t="s">
        <v>3368</v>
      </c>
      <c r="G2471" s="710">
        <v>225</v>
      </c>
      <c r="H2471" s="682">
        <v>2590</v>
      </c>
      <c r="J2471" s="668" t="str">
        <f t="shared" si="431"/>
        <v>(3) Medicare</v>
      </c>
      <c r="L2471" s="668">
        <v>91</v>
      </c>
      <c r="M2471" s="669">
        <v>86</v>
      </c>
      <c r="N2471" s="668"/>
      <c r="O2471" s="668">
        <v>17</v>
      </c>
      <c r="P2471" s="668" t="str">
        <f>IFERROR(VLOOKUP(F2471, [2]MOE!B:C, 2, FALSE), "No")</f>
        <v>No</v>
      </c>
      <c r="Q2471" s="711"/>
      <c r="S2471" s="670" t="s">
        <v>3346</v>
      </c>
      <c r="T2471" s="668" t="s">
        <v>23</v>
      </c>
    </row>
    <row r="2472" spans="1:20">
      <c r="A2472" s="671"/>
      <c r="B2472" s="672"/>
      <c r="C2472" s="672"/>
      <c r="D2472" s="672"/>
      <c r="E2472" s="676" t="s">
        <v>1165</v>
      </c>
      <c r="F2472" s="675"/>
      <c r="G2472" s="672"/>
      <c r="H2472" s="676"/>
      <c r="Q2472" s="711"/>
      <c r="S2472" s="670"/>
    </row>
    <row r="2473" spans="1:20">
      <c r="A2473" s="679">
        <v>2312590</v>
      </c>
      <c r="B2473" s="677"/>
      <c r="C2473" s="672"/>
      <c r="D2473" s="672"/>
      <c r="E2473" s="676" t="s">
        <v>1166</v>
      </c>
      <c r="F2473" s="680" t="s">
        <v>3369</v>
      </c>
      <c r="G2473" s="710">
        <v>231</v>
      </c>
      <c r="H2473" s="682">
        <v>2590</v>
      </c>
      <c r="J2473" s="668" t="str">
        <f t="shared" ref="J2473:J2481" si="432">E2473</f>
        <v>(a) Louisiana Teachers Retirement</v>
      </c>
      <c r="L2473" s="668">
        <v>92</v>
      </c>
      <c r="M2473" s="669">
        <v>87</v>
      </c>
      <c r="N2473" s="668"/>
      <c r="O2473" s="668">
        <v>17</v>
      </c>
      <c r="P2473" s="668" t="str">
        <f>IFERROR(VLOOKUP(F2473, [2]MOE!B:C, 2, FALSE), "No")</f>
        <v>No</v>
      </c>
      <c r="Q2473" s="711"/>
      <c r="S2473" s="670" t="s">
        <v>3346</v>
      </c>
      <c r="T2473" s="668" t="s">
        <v>1074</v>
      </c>
    </row>
    <row r="2474" spans="1:20">
      <c r="A2474" s="679">
        <v>2332590</v>
      </c>
      <c r="B2474" s="672"/>
      <c r="C2474" s="672"/>
      <c r="D2474" s="672"/>
      <c r="E2474" s="676" t="s">
        <v>1168</v>
      </c>
      <c r="F2474" s="680" t="s">
        <v>3370</v>
      </c>
      <c r="G2474" s="710">
        <v>233</v>
      </c>
      <c r="H2474" s="682">
        <v>2590</v>
      </c>
      <c r="J2474" s="668" t="str">
        <f t="shared" si="432"/>
        <v>(b) Louisiana School Emp. Retirement</v>
      </c>
      <c r="L2474" s="668">
        <v>92</v>
      </c>
      <c r="M2474" s="669">
        <v>87</v>
      </c>
      <c r="N2474" s="668"/>
      <c r="O2474" s="668">
        <v>17</v>
      </c>
      <c r="P2474" s="668" t="str">
        <f>IFERROR(VLOOKUP(F2474, [2]MOE!B:C, 2, FALSE), "No")</f>
        <v>No</v>
      </c>
      <c r="Q2474" s="711"/>
      <c r="S2474" s="670" t="s">
        <v>3346</v>
      </c>
      <c r="T2474" s="668" t="s">
        <v>1170</v>
      </c>
    </row>
    <row r="2475" spans="1:20">
      <c r="A2475" s="679">
        <v>2392590</v>
      </c>
      <c r="B2475" s="672"/>
      <c r="C2475" s="672"/>
      <c r="D2475" s="672"/>
      <c r="E2475" s="676" t="s">
        <v>1171</v>
      </c>
      <c r="F2475" s="680" t="s">
        <v>3371</v>
      </c>
      <c r="G2475" s="710">
        <v>239</v>
      </c>
      <c r="H2475" s="682">
        <v>2590</v>
      </c>
      <c r="J2475" s="668" t="str">
        <f t="shared" si="432"/>
        <v>(c) Other Retirement</v>
      </c>
      <c r="L2475" s="668">
        <v>92</v>
      </c>
      <c r="M2475" s="669">
        <v>87</v>
      </c>
      <c r="N2475" s="668"/>
      <c r="O2475" s="668">
        <v>17</v>
      </c>
      <c r="P2475" s="668" t="str">
        <f>IFERROR(VLOOKUP(F2475, [2]MOE!B:C, 2, FALSE), "No")</f>
        <v>No</v>
      </c>
      <c r="Q2475" s="711"/>
      <c r="S2475" s="670" t="s">
        <v>3346</v>
      </c>
      <c r="T2475" s="668" t="s">
        <v>1080</v>
      </c>
    </row>
    <row r="2476" spans="1:20">
      <c r="A2476" s="679">
        <v>2502590</v>
      </c>
      <c r="B2476" s="672"/>
      <c r="C2476" s="672"/>
      <c r="D2476" s="672"/>
      <c r="E2476" s="676" t="s">
        <v>1173</v>
      </c>
      <c r="F2476" s="680" t="s">
        <v>3372</v>
      </c>
      <c r="G2476" s="710">
        <v>250</v>
      </c>
      <c r="H2476" s="682">
        <v>2590</v>
      </c>
      <c r="J2476" s="668" t="str">
        <f t="shared" si="432"/>
        <v>(5) Unemployment Compensation</v>
      </c>
      <c r="L2476" s="668">
        <v>93</v>
      </c>
      <c r="M2476" s="669">
        <v>88</v>
      </c>
      <c r="N2476" s="668"/>
      <c r="O2476" s="668">
        <v>17</v>
      </c>
      <c r="P2476" s="668" t="str">
        <f>IFERROR(VLOOKUP(F2476, [2]MOE!B:C, 2, FALSE), "No")</f>
        <v>No</v>
      </c>
      <c r="Q2476" s="711"/>
      <c r="S2476" s="670" t="s">
        <v>3346</v>
      </c>
      <c r="T2476" s="668" t="s">
        <v>1081</v>
      </c>
    </row>
    <row r="2477" spans="1:20">
      <c r="A2477" s="679">
        <v>2602590</v>
      </c>
      <c r="B2477" s="672"/>
      <c r="C2477" s="672"/>
      <c r="D2477" s="672"/>
      <c r="E2477" s="676" t="s">
        <v>1175</v>
      </c>
      <c r="F2477" s="680" t="s">
        <v>3373</v>
      </c>
      <c r="G2477" s="710">
        <v>260</v>
      </c>
      <c r="H2477" s="682">
        <v>2590</v>
      </c>
      <c r="J2477" s="668" t="str">
        <f t="shared" si="432"/>
        <v>(6) Workmen's Compensation</v>
      </c>
      <c r="L2477" s="668">
        <v>95</v>
      </c>
      <c r="M2477" s="669">
        <v>90</v>
      </c>
      <c r="N2477" s="668"/>
      <c r="O2477" s="668">
        <v>17</v>
      </c>
      <c r="P2477" s="668" t="str">
        <f>IFERROR(VLOOKUP(F2477, [2]MOE!B:C, 2, FALSE), "No")</f>
        <v>No</v>
      </c>
      <c r="Q2477" s="711"/>
      <c r="S2477" s="670" t="s">
        <v>3346</v>
      </c>
      <c r="T2477" s="668" t="s">
        <v>1083</v>
      </c>
    </row>
    <row r="2478" spans="1:20">
      <c r="A2478" s="679">
        <v>2702590</v>
      </c>
      <c r="B2478" s="672"/>
      <c r="C2478" s="672"/>
      <c r="D2478" s="672"/>
      <c r="E2478" s="676" t="s">
        <v>1177</v>
      </c>
      <c r="F2478" s="680" t="s">
        <v>3374</v>
      </c>
      <c r="G2478" s="710">
        <v>270</v>
      </c>
      <c r="H2478" s="682">
        <v>2590</v>
      </c>
      <c r="J2478" s="668" t="str">
        <f t="shared" si="432"/>
        <v>(7) Health Benefits (retirees)</v>
      </c>
      <c r="L2478" s="668">
        <v>94</v>
      </c>
      <c r="M2478" s="669">
        <v>89</v>
      </c>
      <c r="N2478" s="668"/>
      <c r="O2478" s="668">
        <v>17</v>
      </c>
      <c r="P2478" s="668" t="str">
        <f>IFERROR(VLOOKUP(F2478, [2]MOE!B:C, 2, FALSE), "No")</f>
        <v>No</v>
      </c>
      <c r="Q2478" s="711"/>
      <c r="S2478" s="670" t="s">
        <v>3346</v>
      </c>
      <c r="T2478" s="668" t="s">
        <v>1085</v>
      </c>
    </row>
    <row r="2479" spans="1:20">
      <c r="A2479" s="679">
        <v>2812590</v>
      </c>
      <c r="B2479" s="672"/>
      <c r="C2479" s="672"/>
      <c r="D2479" s="672"/>
      <c r="E2479" s="676" t="s">
        <v>1179</v>
      </c>
      <c r="F2479" s="680" t="s">
        <v>3375</v>
      </c>
      <c r="G2479" s="710">
        <v>281</v>
      </c>
      <c r="H2479" s="682">
        <v>2590</v>
      </c>
      <c r="J2479" s="668" t="str">
        <f t="shared" si="432"/>
        <v>(8) Sick Leave Severance Pay</v>
      </c>
      <c r="L2479" s="668">
        <v>95</v>
      </c>
      <c r="M2479" s="669">
        <v>90</v>
      </c>
      <c r="N2479" s="668"/>
      <c r="O2479" s="668">
        <v>17</v>
      </c>
      <c r="P2479" s="668" t="str">
        <f>IFERROR(VLOOKUP(F2479, [2]MOE!B:C, 2, FALSE), "No")</f>
        <v>No</v>
      </c>
      <c r="Q2479" s="711"/>
      <c r="S2479" s="670" t="s">
        <v>3346</v>
      </c>
      <c r="T2479" s="668" t="s">
        <v>1087</v>
      </c>
    </row>
    <row r="2480" spans="1:20">
      <c r="A2480" s="679">
        <v>2822590</v>
      </c>
      <c r="B2480" s="672"/>
      <c r="C2480" s="672"/>
      <c r="D2480" s="672"/>
      <c r="E2480" s="676" t="s">
        <v>1181</v>
      </c>
      <c r="F2480" s="680" t="s">
        <v>3376</v>
      </c>
      <c r="G2480" s="710">
        <v>282</v>
      </c>
      <c r="H2480" s="682">
        <v>2590</v>
      </c>
      <c r="J2480" s="668" t="str">
        <f t="shared" si="432"/>
        <v>(9) Annual Leave Severance Pay</v>
      </c>
      <c r="L2480" s="668">
        <v>95</v>
      </c>
      <c r="M2480" s="669">
        <v>90</v>
      </c>
      <c r="N2480" s="668"/>
      <c r="O2480" s="668">
        <v>17</v>
      </c>
      <c r="P2480" s="668" t="str">
        <f>IFERROR(VLOOKUP(F2480, [2]MOE!B:C, 2, FALSE), "No")</f>
        <v>No</v>
      </c>
      <c r="Q2480" s="711"/>
      <c r="S2480" s="670" t="s">
        <v>3346</v>
      </c>
      <c r="T2480" s="668" t="s">
        <v>1089</v>
      </c>
    </row>
    <row r="2481" spans="1:20" ht="16" thickBot="1">
      <c r="A2481" s="679">
        <v>2902590</v>
      </c>
      <c r="B2481" s="672"/>
      <c r="C2481" s="672"/>
      <c r="D2481" s="672"/>
      <c r="E2481" s="676" t="s">
        <v>1183</v>
      </c>
      <c r="F2481" s="680" t="s">
        <v>3377</v>
      </c>
      <c r="G2481" s="710">
        <v>290</v>
      </c>
      <c r="H2481" s="682">
        <v>2590</v>
      </c>
      <c r="J2481" s="668" t="str">
        <f t="shared" si="432"/>
        <v>(10) Other Employee Benefits</v>
      </c>
      <c r="L2481" s="668">
        <v>95</v>
      </c>
      <c r="M2481" s="669">
        <v>90</v>
      </c>
      <c r="N2481" s="668"/>
      <c r="O2481" s="668">
        <v>17</v>
      </c>
      <c r="P2481" s="668" t="str">
        <f>IFERROR(VLOOKUP(F2481, [2]MOE!B:C, 2, FALSE), "No")</f>
        <v>No</v>
      </c>
      <c r="Q2481" s="711"/>
      <c r="S2481" s="670" t="s">
        <v>3346</v>
      </c>
      <c r="T2481" s="668" t="s">
        <v>1092</v>
      </c>
    </row>
    <row r="2482" spans="1:20" ht="16.5" thickTop="1" thickBot="1">
      <c r="A2482" s="671"/>
      <c r="B2482" s="706"/>
      <c r="C2482" s="929" t="s">
        <v>3378</v>
      </c>
      <c r="D2482" s="930"/>
      <c r="E2482" s="932"/>
      <c r="F2482" s="705" t="s">
        <v>631</v>
      </c>
      <c r="G2482" s="706"/>
      <c r="H2482" s="707"/>
      <c r="Q2482" s="711"/>
      <c r="S2482" s="670"/>
    </row>
    <row r="2483" spans="1:20" ht="16" thickTop="1">
      <c r="A2483" s="671"/>
      <c r="B2483" s="672"/>
      <c r="C2483" s="672"/>
      <c r="D2483" s="672"/>
      <c r="E2483" s="676"/>
      <c r="F2483" s="675"/>
      <c r="G2483" s="672"/>
      <c r="H2483" s="676"/>
      <c r="Q2483" s="711"/>
      <c r="S2483" s="670"/>
    </row>
    <row r="2484" spans="1:20">
      <c r="A2484" s="671"/>
      <c r="B2484" s="677" t="s">
        <v>1798</v>
      </c>
      <c r="C2484" s="921" t="s">
        <v>3379</v>
      </c>
      <c r="D2484" s="795"/>
      <c r="E2484" s="926"/>
      <c r="F2484" s="675"/>
      <c r="G2484" s="672"/>
      <c r="H2484" s="676"/>
      <c r="Q2484" s="711"/>
      <c r="S2484" s="670"/>
    </row>
    <row r="2485" spans="1:20">
      <c r="A2485" s="671"/>
      <c r="B2485" s="672"/>
      <c r="C2485" s="678">
        <v>75</v>
      </c>
      <c r="D2485" s="927" t="s">
        <v>244</v>
      </c>
      <c r="E2485" s="926"/>
      <c r="F2485" s="675"/>
      <c r="G2485" s="672"/>
      <c r="H2485" s="676"/>
      <c r="Q2485" s="711"/>
      <c r="S2485" s="670"/>
    </row>
    <row r="2486" spans="1:20">
      <c r="A2486" s="679">
        <v>1112610</v>
      </c>
      <c r="B2486" s="672"/>
      <c r="C2486" s="672"/>
      <c r="D2486" s="672" t="s">
        <v>759</v>
      </c>
      <c r="E2486" s="676" t="s">
        <v>1848</v>
      </c>
      <c r="F2486" s="680" t="s">
        <v>3380</v>
      </c>
      <c r="G2486" s="710">
        <v>111</v>
      </c>
      <c r="H2486" s="682">
        <v>2610</v>
      </c>
      <c r="J2486" s="668" t="str">
        <f t="shared" ref="J2486:J2494" si="433">E2486</f>
        <v>Supervisors</v>
      </c>
      <c r="L2486" s="668">
        <v>81</v>
      </c>
      <c r="M2486" s="669">
        <v>76</v>
      </c>
      <c r="N2486" s="668"/>
      <c r="O2486" s="668">
        <v>18</v>
      </c>
      <c r="P2486" s="668" t="str">
        <f>IFERROR(VLOOKUP(F2486, [2]MOE!B:C, 2, FALSE), "No")</f>
        <v>No</v>
      </c>
      <c r="Q2486" s="711" t="s">
        <v>3381</v>
      </c>
      <c r="S2486" s="670" t="s">
        <v>3382</v>
      </c>
      <c r="T2486" s="668" t="s">
        <v>1848</v>
      </c>
    </row>
    <row r="2487" spans="1:20">
      <c r="A2487" s="679">
        <v>1142610</v>
      </c>
      <c r="B2487" s="672"/>
      <c r="C2487" s="672"/>
      <c r="D2487" s="672" t="s">
        <v>777</v>
      </c>
      <c r="E2487" s="676" t="s">
        <v>1854</v>
      </c>
      <c r="F2487" s="680" t="s">
        <v>3383</v>
      </c>
      <c r="G2487" s="710">
        <v>114</v>
      </c>
      <c r="H2487" s="682">
        <v>2610</v>
      </c>
      <c r="J2487" s="668" t="str">
        <f t="shared" si="433"/>
        <v>Clerical/Secretarial</v>
      </c>
      <c r="L2487" s="668">
        <v>84</v>
      </c>
      <c r="M2487" s="669">
        <v>79</v>
      </c>
      <c r="N2487" s="668"/>
      <c r="O2487" s="668">
        <v>18</v>
      </c>
      <c r="P2487" s="668" t="str">
        <f>IFERROR(VLOOKUP(F2487, [2]MOE!B:C, 2, FALSE), "No")</f>
        <v>No</v>
      </c>
      <c r="Q2487" s="711" t="s">
        <v>3381</v>
      </c>
      <c r="S2487" s="670" t="s">
        <v>3382</v>
      </c>
      <c r="T2487" s="668" t="s">
        <v>1854</v>
      </c>
    </row>
    <row r="2488" spans="1:20">
      <c r="A2488" s="679">
        <v>1162620</v>
      </c>
      <c r="B2488" s="672"/>
      <c r="C2488" s="672"/>
      <c r="D2488" s="672" t="s">
        <v>801</v>
      </c>
      <c r="E2488" s="676" t="s">
        <v>3384</v>
      </c>
      <c r="F2488" s="680" t="s">
        <v>3385</v>
      </c>
      <c r="G2488" s="710">
        <v>116</v>
      </c>
      <c r="H2488" s="682">
        <v>2620</v>
      </c>
      <c r="J2488" s="668" t="str">
        <f t="shared" si="433"/>
        <v>Custodian/Building Maintenance</v>
      </c>
      <c r="L2488" s="668">
        <v>85</v>
      </c>
      <c r="M2488" s="669">
        <v>80</v>
      </c>
      <c r="N2488" s="668"/>
      <c r="O2488" s="668">
        <v>18</v>
      </c>
      <c r="P2488" s="668" t="str">
        <f>IFERROR(VLOOKUP(F2488, [2]MOE!B:C, 2, FALSE), "No")</f>
        <v>No</v>
      </c>
      <c r="Q2488" s="711"/>
      <c r="S2488" s="670" t="s">
        <v>3382</v>
      </c>
      <c r="T2488" s="668" t="s">
        <v>3384</v>
      </c>
    </row>
    <row r="2489" spans="1:20">
      <c r="A2489" s="679">
        <v>1172650</v>
      </c>
      <c r="B2489" s="672"/>
      <c r="C2489" s="672"/>
      <c r="D2489" s="672" t="s">
        <v>805</v>
      </c>
      <c r="E2489" s="676" t="s">
        <v>3386</v>
      </c>
      <c r="F2489" s="680" t="s">
        <v>3387</v>
      </c>
      <c r="G2489" s="710">
        <v>117</v>
      </c>
      <c r="H2489" s="682">
        <v>2650</v>
      </c>
      <c r="J2489" s="668" t="str">
        <f t="shared" si="433"/>
        <v>Mechanics (exc. School Trans./Food Svcs)</v>
      </c>
      <c r="L2489" s="668">
        <v>86</v>
      </c>
      <c r="M2489" s="669">
        <v>81</v>
      </c>
      <c r="N2489" s="668"/>
      <c r="O2489" s="668">
        <v>18</v>
      </c>
      <c r="P2489" s="668" t="str">
        <f>IFERROR(VLOOKUP(F2489, [2]MOE!B:C, 2, FALSE), "No")</f>
        <v>No</v>
      </c>
      <c r="Q2489" s="711"/>
      <c r="S2489" s="670" t="s">
        <v>3382</v>
      </c>
      <c r="T2489" s="668" t="s">
        <v>3386</v>
      </c>
    </row>
    <row r="2490" spans="1:20">
      <c r="A2490" s="679">
        <v>1002660</v>
      </c>
      <c r="B2490" s="672"/>
      <c r="C2490" s="672"/>
      <c r="D2490" s="672" t="s">
        <v>850</v>
      </c>
      <c r="E2490" s="676" t="s">
        <v>3388</v>
      </c>
      <c r="F2490" s="680" t="s">
        <v>3389</v>
      </c>
      <c r="G2490" s="710">
        <v>100</v>
      </c>
      <c r="H2490" s="682">
        <v>2660</v>
      </c>
      <c r="J2490" s="668" t="str">
        <f t="shared" si="433"/>
        <v>School Safety/Security Staff/Cross Guards</v>
      </c>
      <c r="L2490" s="668">
        <v>86</v>
      </c>
      <c r="M2490" s="669">
        <v>81</v>
      </c>
      <c r="N2490" s="668"/>
      <c r="O2490" s="668">
        <v>18</v>
      </c>
      <c r="P2490" s="668" t="str">
        <f>IFERROR(VLOOKUP(F2490, [2]MOE!B:C, 2, FALSE), "No")</f>
        <v>No</v>
      </c>
      <c r="Q2490" s="711"/>
      <c r="S2490" s="670" t="s">
        <v>3382</v>
      </c>
      <c r="T2490" s="668" t="s">
        <v>3388</v>
      </c>
    </row>
    <row r="2491" spans="1:20">
      <c r="A2491" s="679">
        <v>1172690</v>
      </c>
      <c r="B2491" s="672"/>
      <c r="C2491" s="672"/>
      <c r="D2491" s="672" t="s">
        <v>853</v>
      </c>
      <c r="E2491" s="676" t="s">
        <v>3390</v>
      </c>
      <c r="F2491" s="680" t="s">
        <v>3391</v>
      </c>
      <c r="G2491" s="710">
        <v>117</v>
      </c>
      <c r="H2491" s="682">
        <v>2690</v>
      </c>
      <c r="J2491" s="668" t="str">
        <f t="shared" si="433"/>
        <v>Other Skilled Craftsman - Ops. and Maint.</v>
      </c>
      <c r="L2491" s="668">
        <v>86</v>
      </c>
      <c r="M2491" s="669">
        <v>81</v>
      </c>
      <c r="N2491" s="668"/>
      <c r="O2491" s="668">
        <v>18</v>
      </c>
      <c r="P2491" s="668" t="str">
        <f>IFERROR(VLOOKUP(F2491, [2]MOE!B:C, 2, FALSE), "No")</f>
        <v>No</v>
      </c>
      <c r="Q2491" s="711" t="s">
        <v>3381</v>
      </c>
      <c r="S2491" s="670" t="s">
        <v>3382</v>
      </c>
      <c r="T2491" s="668" t="s">
        <v>3390</v>
      </c>
    </row>
    <row r="2492" spans="1:20">
      <c r="A2492" s="679">
        <v>1202690</v>
      </c>
      <c r="B2492" s="672"/>
      <c r="C2492" s="672"/>
      <c r="D2492" s="672" t="s">
        <v>856</v>
      </c>
      <c r="E2492" s="676" t="s">
        <v>2178</v>
      </c>
      <c r="F2492" s="680" t="s">
        <v>3392</v>
      </c>
      <c r="G2492" s="710">
        <v>120</v>
      </c>
      <c r="H2492" s="682">
        <v>2690</v>
      </c>
      <c r="J2492" s="668" t="str">
        <f t="shared" si="433"/>
        <v>Substitute/Temporary Employees</v>
      </c>
      <c r="L2492" s="668">
        <v>86</v>
      </c>
      <c r="M2492" s="669">
        <v>81</v>
      </c>
      <c r="N2492" s="668"/>
      <c r="O2492" s="668">
        <v>18</v>
      </c>
      <c r="P2492" s="668" t="str">
        <f>IFERROR(VLOOKUP(F2492, [2]MOE!B:C, 2, FALSE), "No")</f>
        <v>No</v>
      </c>
      <c r="Q2492" s="711" t="s">
        <v>3381</v>
      </c>
      <c r="S2492" s="670" t="s">
        <v>3382</v>
      </c>
      <c r="T2492" s="668" t="s">
        <v>2178</v>
      </c>
    </row>
    <row r="2493" spans="1:20">
      <c r="A2493" s="679">
        <v>1002690</v>
      </c>
      <c r="B2493" s="672"/>
      <c r="C2493" s="672"/>
      <c r="D2493" s="672" t="s">
        <v>859</v>
      </c>
      <c r="E2493" s="676" t="s">
        <v>3393</v>
      </c>
      <c r="F2493" s="680" t="s">
        <v>3394</v>
      </c>
      <c r="G2493" s="710">
        <v>100</v>
      </c>
      <c r="H2493" s="682">
        <v>2690</v>
      </c>
      <c r="J2493" s="668" t="str">
        <f t="shared" si="433"/>
        <v>Other Salaries - Operations &amp; Maintenance</v>
      </c>
      <c r="L2493" s="668">
        <v>86</v>
      </c>
      <c r="M2493" s="669">
        <v>81</v>
      </c>
      <c r="N2493" s="668"/>
      <c r="O2493" s="668">
        <v>18</v>
      </c>
      <c r="P2493" s="668" t="str">
        <f>IFERROR(VLOOKUP(F2493, [2]MOE!B:C, 2, FALSE), "No")</f>
        <v>No</v>
      </c>
      <c r="Q2493" s="711" t="s">
        <v>3381</v>
      </c>
      <c r="S2493" s="670" t="s">
        <v>3382</v>
      </c>
      <c r="T2493" s="668" t="s">
        <v>3393</v>
      </c>
    </row>
    <row r="2494" spans="1:20">
      <c r="A2494" s="679">
        <v>1402690</v>
      </c>
      <c r="B2494" s="672"/>
      <c r="C2494" s="672"/>
      <c r="D2494" s="672" t="s">
        <v>862</v>
      </c>
      <c r="E2494" s="676" t="s">
        <v>1019</v>
      </c>
      <c r="F2494" s="680" t="s">
        <v>3395</v>
      </c>
      <c r="G2494" s="710">
        <v>140</v>
      </c>
      <c r="H2494" s="682">
        <v>2690</v>
      </c>
      <c r="J2494" s="668" t="str">
        <f t="shared" si="433"/>
        <v>Sabbatical Leave</v>
      </c>
      <c r="L2494" s="668">
        <v>86</v>
      </c>
      <c r="M2494" s="669">
        <v>81</v>
      </c>
      <c r="N2494" s="668"/>
      <c r="O2494" s="668">
        <v>18</v>
      </c>
      <c r="P2494" s="668" t="str">
        <f>IFERROR(VLOOKUP(F2494, [2]MOE!B:C, 2, FALSE), "No")</f>
        <v>No</v>
      </c>
      <c r="Q2494" s="711" t="s">
        <v>3381</v>
      </c>
      <c r="S2494" s="670" t="s">
        <v>3382</v>
      </c>
      <c r="T2494" s="668" t="s">
        <v>1019</v>
      </c>
    </row>
    <row r="2495" spans="1:20">
      <c r="A2495" s="671"/>
      <c r="B2495" s="672"/>
      <c r="C2495" s="678">
        <v>76</v>
      </c>
      <c r="D2495" s="925" t="s">
        <v>3382</v>
      </c>
      <c r="E2495" s="926"/>
      <c r="F2495" s="675"/>
      <c r="G2495" s="672"/>
      <c r="H2495" s="676"/>
      <c r="Q2495" s="711"/>
      <c r="S2495" s="670"/>
    </row>
    <row r="2496" spans="1:20">
      <c r="A2496" s="679">
        <v>3002620</v>
      </c>
      <c r="B2496" s="672"/>
      <c r="C2496" s="672"/>
      <c r="D2496" s="672" t="s">
        <v>759</v>
      </c>
      <c r="E2496" s="676" t="s">
        <v>1113</v>
      </c>
      <c r="F2496" s="680" t="s">
        <v>3396</v>
      </c>
      <c r="G2496" s="710">
        <v>300</v>
      </c>
      <c r="H2496" s="682">
        <v>2620</v>
      </c>
      <c r="J2496" s="668" t="str">
        <f>E2496</f>
        <v>Purchased Professional and Technical Svcs</v>
      </c>
      <c r="L2496" s="668">
        <v>101</v>
      </c>
      <c r="M2496" s="669">
        <v>96</v>
      </c>
      <c r="N2496" s="668"/>
      <c r="O2496" s="668">
        <v>18</v>
      </c>
      <c r="P2496" s="668" t="str">
        <f>IFERROR(VLOOKUP(F2496, [2]MOE!B:C, 2, FALSE), "No")</f>
        <v>No</v>
      </c>
      <c r="Q2496" s="711"/>
      <c r="S2496" s="670" t="s">
        <v>3382</v>
      </c>
      <c r="T2496" s="668" t="s">
        <v>1113</v>
      </c>
    </row>
    <row r="2497" spans="1:20">
      <c r="A2497" s="671"/>
      <c r="B2497" s="672"/>
      <c r="C2497" s="672"/>
      <c r="D2497" s="672" t="s">
        <v>777</v>
      </c>
      <c r="E2497" s="676" t="s">
        <v>250</v>
      </c>
      <c r="F2497" s="675"/>
      <c r="G2497" s="672"/>
      <c r="H2497" s="676"/>
      <c r="Q2497" s="711"/>
      <c r="S2497" s="670"/>
    </row>
    <row r="2498" spans="1:20">
      <c r="A2498" s="679">
        <v>4112620</v>
      </c>
      <c r="B2498" s="672"/>
      <c r="C2498" s="672"/>
      <c r="D2498" s="672"/>
      <c r="E2498" s="676" t="s">
        <v>3397</v>
      </c>
      <c r="F2498" s="680" t="s">
        <v>3398</v>
      </c>
      <c r="G2498" s="710">
        <v>411</v>
      </c>
      <c r="H2498" s="682">
        <v>2620</v>
      </c>
      <c r="J2498" s="668" t="str">
        <f t="shared" ref="J2498:J2504" si="434">E2498</f>
        <v>(1) Utilities - Water/Sewage</v>
      </c>
      <c r="L2498" s="668">
        <v>104</v>
      </c>
      <c r="M2498" s="669">
        <v>99</v>
      </c>
      <c r="N2498" s="668"/>
      <c r="O2498" s="668">
        <v>18</v>
      </c>
      <c r="P2498" s="668" t="str">
        <f>IFERROR(VLOOKUP(F2498, [2]MOE!B:C, 2, FALSE), "No")</f>
        <v>No</v>
      </c>
      <c r="Q2498" s="711"/>
      <c r="S2498" s="670" t="s">
        <v>3382</v>
      </c>
      <c r="T2498" s="668" t="s">
        <v>3399</v>
      </c>
    </row>
    <row r="2499" spans="1:20">
      <c r="A2499" s="679">
        <v>4212620</v>
      </c>
      <c r="B2499" s="672"/>
      <c r="C2499" s="672"/>
      <c r="D2499" s="672"/>
      <c r="E2499" s="676" t="s">
        <v>3400</v>
      </c>
      <c r="F2499" s="680" t="s">
        <v>3401</v>
      </c>
      <c r="G2499" s="710">
        <v>421</v>
      </c>
      <c r="H2499" s="682">
        <v>2620</v>
      </c>
      <c r="J2499" s="668" t="str">
        <f t="shared" si="434"/>
        <v>(2) Disposal Services</v>
      </c>
      <c r="L2499" s="668">
        <v>108</v>
      </c>
      <c r="M2499" s="669">
        <v>103</v>
      </c>
      <c r="N2499" s="668"/>
      <c r="O2499" s="668">
        <v>18</v>
      </c>
      <c r="P2499" s="668" t="str">
        <f>IFERROR(VLOOKUP(F2499, [2]MOE!B:C, 2, FALSE), "No")</f>
        <v>No</v>
      </c>
      <c r="Q2499" s="711" t="s">
        <v>3381</v>
      </c>
      <c r="S2499" s="670" t="s">
        <v>3382</v>
      </c>
      <c r="T2499" s="668" t="s">
        <v>3402</v>
      </c>
    </row>
    <row r="2500" spans="1:20">
      <c r="A2500" s="679">
        <v>4232620</v>
      </c>
      <c r="B2500" s="672"/>
      <c r="C2500" s="672"/>
      <c r="D2500" s="672"/>
      <c r="E2500" s="676" t="s">
        <v>3403</v>
      </c>
      <c r="F2500" s="680" t="s">
        <v>3404</v>
      </c>
      <c r="G2500" s="710">
        <v>423</v>
      </c>
      <c r="H2500" s="682">
        <v>2620</v>
      </c>
      <c r="J2500" s="668" t="str">
        <f t="shared" si="434"/>
        <v>(3) Custodial Services</v>
      </c>
      <c r="L2500" s="668">
        <v>108</v>
      </c>
      <c r="M2500" s="669">
        <v>103</v>
      </c>
      <c r="N2500" s="668"/>
      <c r="O2500" s="668">
        <v>18</v>
      </c>
      <c r="P2500" s="668" t="str">
        <f>IFERROR(VLOOKUP(F2500, [2]MOE!B:C, 2, FALSE), "No")</f>
        <v>No</v>
      </c>
      <c r="Q2500" s="727"/>
      <c r="S2500" s="670" t="s">
        <v>3382</v>
      </c>
      <c r="T2500" s="668" t="s">
        <v>3405</v>
      </c>
    </row>
    <row r="2501" spans="1:20">
      <c r="A2501" s="679">
        <v>4302620</v>
      </c>
      <c r="B2501" s="672"/>
      <c r="C2501" s="672"/>
      <c r="D2501" s="672"/>
      <c r="E2501" s="676" t="s">
        <v>3406</v>
      </c>
      <c r="F2501" s="680" t="s">
        <v>3407</v>
      </c>
      <c r="G2501" s="710">
        <v>430</v>
      </c>
      <c r="H2501" s="682">
        <v>2620</v>
      </c>
      <c r="J2501" s="668" t="str">
        <f t="shared" si="434"/>
        <v>(4) Repairs and Maintenance Services</v>
      </c>
      <c r="L2501" s="668">
        <v>107</v>
      </c>
      <c r="M2501" s="669">
        <v>102</v>
      </c>
      <c r="N2501" s="668"/>
      <c r="O2501" s="668">
        <v>18</v>
      </c>
      <c r="P2501" s="668" t="str">
        <f>IFERROR(VLOOKUP(F2501, [2]MOE!B:C, 2, FALSE), "No")</f>
        <v>No</v>
      </c>
      <c r="Q2501" s="711" t="s">
        <v>3381</v>
      </c>
      <c r="S2501" s="670" t="s">
        <v>3382</v>
      </c>
      <c r="T2501" s="668" t="s">
        <v>1023</v>
      </c>
    </row>
    <row r="2502" spans="1:20">
      <c r="A2502" s="679">
        <v>4412620</v>
      </c>
      <c r="B2502" s="672"/>
      <c r="C2502" s="672"/>
      <c r="D2502" s="672"/>
      <c r="E2502" s="676" t="s">
        <v>3408</v>
      </c>
      <c r="F2502" s="680" t="s">
        <v>3409</v>
      </c>
      <c r="G2502" s="710">
        <v>441</v>
      </c>
      <c r="H2502" s="682">
        <v>2620</v>
      </c>
      <c r="J2502" s="668" t="str">
        <f t="shared" si="434"/>
        <v>(5) Renting/Leasing Land and Buildings</v>
      </c>
      <c r="L2502" s="668">
        <v>105</v>
      </c>
      <c r="M2502" s="669">
        <v>100</v>
      </c>
      <c r="N2502" s="668"/>
      <c r="O2502" s="668">
        <v>18</v>
      </c>
      <c r="P2502" s="668" t="str">
        <f>IFERROR(VLOOKUP(F2502, [2]MOE!B:C, 2, FALSE), "No")</f>
        <v>No</v>
      </c>
      <c r="Q2502" s="711" t="s">
        <v>3381</v>
      </c>
      <c r="S2502" s="670" t="s">
        <v>3382</v>
      </c>
      <c r="T2502" s="668" t="s">
        <v>3410</v>
      </c>
    </row>
    <row r="2503" spans="1:20">
      <c r="A2503" s="679">
        <v>4422620</v>
      </c>
      <c r="B2503" s="672"/>
      <c r="C2503" s="672"/>
      <c r="D2503" s="672"/>
      <c r="E2503" s="676" t="s">
        <v>3411</v>
      </c>
      <c r="F2503" s="680" t="s">
        <v>3412</v>
      </c>
      <c r="G2503" s="710">
        <v>442</v>
      </c>
      <c r="H2503" s="682">
        <v>2620</v>
      </c>
      <c r="J2503" s="668" t="str">
        <f t="shared" si="434"/>
        <v>(6) Rental of Equipment and Vehicles</v>
      </c>
      <c r="L2503" s="668">
        <v>106</v>
      </c>
      <c r="M2503" s="669">
        <v>101</v>
      </c>
      <c r="N2503" s="668"/>
      <c r="O2503" s="668">
        <v>18</v>
      </c>
      <c r="P2503" s="668" t="str">
        <f>IFERROR(VLOOKUP(F2503, [2]MOE!B:C, 2, FALSE), "No")</f>
        <v>No</v>
      </c>
      <c r="Q2503" s="711" t="s">
        <v>3381</v>
      </c>
      <c r="S2503" s="670" t="s">
        <v>3382</v>
      </c>
      <c r="T2503" s="668" t="s">
        <v>1384</v>
      </c>
    </row>
    <row r="2504" spans="1:20">
      <c r="A2504" s="679">
        <v>4002620</v>
      </c>
      <c r="B2504" s="672"/>
      <c r="C2504" s="672"/>
      <c r="D2504" s="672"/>
      <c r="E2504" s="676" t="s">
        <v>3413</v>
      </c>
      <c r="F2504" s="680" t="s">
        <v>3414</v>
      </c>
      <c r="G2504" s="710">
        <v>400</v>
      </c>
      <c r="H2504" s="682">
        <v>2620</v>
      </c>
      <c r="J2504" s="668" t="str">
        <f t="shared" si="434"/>
        <v>(7) Other Purchased Property Services</v>
      </c>
      <c r="L2504" s="668">
        <v>108</v>
      </c>
      <c r="M2504" s="669">
        <v>103</v>
      </c>
      <c r="N2504" s="668"/>
      <c r="O2504" s="668">
        <v>18</v>
      </c>
      <c r="P2504" s="668" t="str">
        <f>IFERROR(VLOOKUP(F2504, [2]MOE!B:C, 2, FALSE), "No")</f>
        <v>No</v>
      </c>
      <c r="Q2504" s="711"/>
      <c r="S2504" s="670" t="s">
        <v>3382</v>
      </c>
      <c r="T2504" s="668" t="s">
        <v>1027</v>
      </c>
    </row>
    <row r="2505" spans="1:20">
      <c r="A2505" s="671"/>
      <c r="B2505" s="672"/>
      <c r="C2505" s="672"/>
      <c r="D2505" s="672" t="s">
        <v>801</v>
      </c>
      <c r="E2505" s="676" t="s">
        <v>252</v>
      </c>
      <c r="F2505" s="675"/>
      <c r="G2505" s="672"/>
      <c r="H2505" s="676"/>
      <c r="Q2505" s="711"/>
      <c r="S2505" s="670"/>
    </row>
    <row r="2506" spans="1:20">
      <c r="A2506" s="679">
        <v>5222620</v>
      </c>
      <c r="B2506" s="672"/>
      <c r="C2506" s="672"/>
      <c r="D2506" s="672"/>
      <c r="E2506" s="676" t="s">
        <v>3415</v>
      </c>
      <c r="F2506" s="680" t="s">
        <v>3416</v>
      </c>
      <c r="G2506" s="710">
        <v>522</v>
      </c>
      <c r="H2506" s="682">
        <v>2620</v>
      </c>
      <c r="J2506" s="668" t="str">
        <f t="shared" ref="J2506:J2509" si="435">E2506</f>
        <v>(1) Property Insurance</v>
      </c>
      <c r="L2506" s="668">
        <v>112</v>
      </c>
      <c r="M2506" s="669">
        <v>107</v>
      </c>
      <c r="N2506" s="668"/>
      <c r="O2506" s="668">
        <v>18</v>
      </c>
      <c r="P2506" s="668" t="str">
        <f>IFERROR(VLOOKUP(F2506, [2]MOE!B:C, 2, FALSE), "No")</f>
        <v>No</v>
      </c>
      <c r="Q2506" s="711" t="s">
        <v>3381</v>
      </c>
      <c r="S2506" s="670" t="s">
        <v>3382</v>
      </c>
      <c r="T2506" s="668" t="s">
        <v>146</v>
      </c>
    </row>
    <row r="2507" spans="1:20">
      <c r="A2507" s="679">
        <v>5302620</v>
      </c>
      <c r="B2507" s="672"/>
      <c r="C2507" s="672"/>
      <c r="D2507" s="672"/>
      <c r="E2507" s="676" t="s">
        <v>3018</v>
      </c>
      <c r="F2507" s="680" t="s">
        <v>3417</v>
      </c>
      <c r="G2507" s="710">
        <v>530</v>
      </c>
      <c r="H2507" s="682">
        <v>2620</v>
      </c>
      <c r="J2507" s="668" t="str">
        <f t="shared" si="435"/>
        <v>(2) Communications (phone/internet/post)</v>
      </c>
      <c r="L2507" s="668">
        <v>119</v>
      </c>
      <c r="M2507" s="669">
        <v>110</v>
      </c>
      <c r="N2507" s="668"/>
      <c r="O2507" s="668">
        <v>18</v>
      </c>
      <c r="P2507" s="668" t="str">
        <f>IFERROR(VLOOKUP(F2507, [2]MOE!B:C, 2, FALSE), "No")</f>
        <v>No</v>
      </c>
      <c r="Q2507" s="711" t="s">
        <v>3381</v>
      </c>
      <c r="S2507" s="670" t="s">
        <v>3382</v>
      </c>
      <c r="T2507" s="668" t="s">
        <v>3020</v>
      </c>
    </row>
    <row r="2508" spans="1:20">
      <c r="A2508" s="679">
        <v>5822620</v>
      </c>
      <c r="B2508" s="672"/>
      <c r="C2508" s="672"/>
      <c r="D2508" s="672"/>
      <c r="E2508" s="676" t="s">
        <v>1393</v>
      </c>
      <c r="F2508" s="680" t="s">
        <v>3418</v>
      </c>
      <c r="G2508" s="710">
        <v>582</v>
      </c>
      <c r="H2508" s="682">
        <v>2620</v>
      </c>
      <c r="J2508" s="668" t="str">
        <f t="shared" si="435"/>
        <v>(3) Travel Expense Reimbursement</v>
      </c>
      <c r="L2508" s="668">
        <v>118</v>
      </c>
      <c r="M2508" s="669">
        <v>109</v>
      </c>
      <c r="N2508" s="668"/>
      <c r="O2508" s="668">
        <v>18</v>
      </c>
      <c r="P2508" s="668" t="str">
        <f>IFERROR(VLOOKUP(F2508, [2]MOE!B:C, 2, FALSE), "No")</f>
        <v>No</v>
      </c>
      <c r="Q2508" s="711" t="s">
        <v>3381</v>
      </c>
      <c r="S2508" s="670" t="s">
        <v>3382</v>
      </c>
      <c r="T2508" s="668" t="s">
        <v>1039</v>
      </c>
    </row>
    <row r="2509" spans="1:20">
      <c r="A2509" s="679">
        <v>5002620</v>
      </c>
      <c r="B2509" s="672"/>
      <c r="C2509" s="672"/>
      <c r="D2509" s="672"/>
      <c r="E2509" s="676" t="s">
        <v>1395</v>
      </c>
      <c r="F2509" s="680" t="s">
        <v>3419</v>
      </c>
      <c r="G2509" s="710">
        <v>500</v>
      </c>
      <c r="H2509" s="682">
        <v>2620</v>
      </c>
      <c r="J2509" s="668" t="str">
        <f t="shared" si="435"/>
        <v>(4) Other Purchased Services</v>
      </c>
      <c r="L2509" s="668">
        <v>119</v>
      </c>
      <c r="M2509" s="669">
        <v>110</v>
      </c>
      <c r="N2509" s="668"/>
      <c r="O2509" s="668">
        <v>18</v>
      </c>
      <c r="P2509" s="668" t="str">
        <f>IFERROR(VLOOKUP(F2509, [2]MOE!B:C, 2, FALSE), "No")</f>
        <v>No</v>
      </c>
      <c r="Q2509" s="711" t="s">
        <v>3381</v>
      </c>
      <c r="S2509" s="670" t="s">
        <v>3382</v>
      </c>
      <c r="T2509" s="668" t="s">
        <v>252</v>
      </c>
    </row>
    <row r="2510" spans="1:20">
      <c r="A2510" s="671"/>
      <c r="B2510" s="672"/>
      <c r="C2510" s="672"/>
      <c r="D2510" s="672" t="s">
        <v>805</v>
      </c>
      <c r="E2510" s="676" t="s">
        <v>254</v>
      </c>
      <c r="F2510" s="675"/>
      <c r="G2510" s="672"/>
      <c r="H2510" s="676"/>
      <c r="Q2510" s="711"/>
      <c r="S2510" s="670"/>
    </row>
    <row r="2511" spans="1:20">
      <c r="A2511" s="679">
        <v>6102620</v>
      </c>
      <c r="B2511" s="672"/>
      <c r="C2511" s="672"/>
      <c r="D2511" s="672"/>
      <c r="E2511" s="676" t="s">
        <v>3420</v>
      </c>
      <c r="F2511" s="680" t="s">
        <v>3421</v>
      </c>
      <c r="G2511" s="710">
        <v>610</v>
      </c>
      <c r="H2511" s="682">
        <v>2620</v>
      </c>
      <c r="J2511" s="668" t="str">
        <f t="shared" ref="J2511:J2515" si="436">E2511</f>
        <v>(1) Materials and Supplies</v>
      </c>
      <c r="L2511" s="668">
        <v>122</v>
      </c>
      <c r="M2511" s="669">
        <v>113</v>
      </c>
      <c r="N2511" s="668"/>
      <c r="O2511" s="668">
        <v>18</v>
      </c>
      <c r="P2511" s="668" t="str">
        <f>IFERROR(VLOOKUP(F2511, [2]MOE!B:C, 2, FALSE), "No")</f>
        <v>No</v>
      </c>
      <c r="Q2511" s="711" t="s">
        <v>3381</v>
      </c>
      <c r="S2511" s="670" t="s">
        <v>3382</v>
      </c>
      <c r="T2511" s="668" t="s">
        <v>39</v>
      </c>
    </row>
    <row r="2512" spans="1:20">
      <c r="A2512" s="679">
        <v>6152620</v>
      </c>
      <c r="B2512" s="672"/>
      <c r="C2512" s="672"/>
      <c r="D2512" s="672"/>
      <c r="E2512" s="676" t="s">
        <v>3422</v>
      </c>
      <c r="F2512" s="680" t="s">
        <v>3423</v>
      </c>
      <c r="G2512" s="710">
        <v>615</v>
      </c>
      <c r="H2512" s="682">
        <v>2620</v>
      </c>
      <c r="J2512" s="668" t="str">
        <f t="shared" si="436"/>
        <v>(2) Technology-Related Supplies</v>
      </c>
      <c r="L2512" s="668">
        <v>126</v>
      </c>
      <c r="M2512" s="669">
        <v>117</v>
      </c>
      <c r="N2512" s="668"/>
      <c r="O2512" s="668">
        <v>18</v>
      </c>
      <c r="P2512" s="668" t="str">
        <f>IFERROR(VLOOKUP(F2512, [2]MOE!B:C, 2, FALSE), "No")</f>
        <v>No</v>
      </c>
      <c r="Q2512" s="711" t="s">
        <v>3381</v>
      </c>
      <c r="S2512" s="670" t="s">
        <v>3382</v>
      </c>
      <c r="T2512" s="668" t="s">
        <v>1043</v>
      </c>
    </row>
    <row r="2513" spans="1:20">
      <c r="A2513" s="679">
        <v>6212620</v>
      </c>
      <c r="B2513" s="672"/>
      <c r="C2513" s="672"/>
      <c r="D2513" s="672"/>
      <c r="E2513" s="676" t="s">
        <v>3424</v>
      </c>
      <c r="F2513" s="680" t="s">
        <v>3425</v>
      </c>
      <c r="G2513" s="710">
        <v>621</v>
      </c>
      <c r="H2513" s="682">
        <v>2620</v>
      </c>
      <c r="J2513" s="668" t="str">
        <f t="shared" si="436"/>
        <v>(3) Natural Gas</v>
      </c>
      <c r="L2513" s="668">
        <v>123</v>
      </c>
      <c r="M2513" s="669">
        <v>114</v>
      </c>
      <c r="N2513" s="668"/>
      <c r="O2513" s="668">
        <v>18</v>
      </c>
      <c r="P2513" s="668" t="str">
        <f>IFERROR(VLOOKUP(F2513, [2]MOE!B:C, 2, FALSE), "No")</f>
        <v>No</v>
      </c>
      <c r="Q2513" s="711"/>
      <c r="S2513" s="670" t="s">
        <v>3382</v>
      </c>
      <c r="T2513" s="668" t="s">
        <v>3426</v>
      </c>
    </row>
    <row r="2514" spans="1:20">
      <c r="A2514" s="679">
        <v>6222620</v>
      </c>
      <c r="B2514" s="672"/>
      <c r="C2514" s="672"/>
      <c r="D2514" s="672"/>
      <c r="E2514" s="676" t="s">
        <v>3427</v>
      </c>
      <c r="F2514" s="680" t="s">
        <v>3428</v>
      </c>
      <c r="G2514" s="710">
        <v>622</v>
      </c>
      <c r="H2514" s="682">
        <v>2620</v>
      </c>
      <c r="J2514" s="668" t="str">
        <f t="shared" si="436"/>
        <v>(4) Electricity</v>
      </c>
      <c r="L2514" s="668">
        <v>123</v>
      </c>
      <c r="M2514" s="669">
        <v>114</v>
      </c>
      <c r="N2514" s="668"/>
      <c r="O2514" s="668">
        <v>18</v>
      </c>
      <c r="P2514" s="668" t="str">
        <f>IFERROR(VLOOKUP(F2514, [2]MOE!B:C, 2, FALSE), "No")</f>
        <v>No</v>
      </c>
      <c r="Q2514" s="711"/>
      <c r="S2514" s="670" t="s">
        <v>3382</v>
      </c>
      <c r="T2514" s="668" t="s">
        <v>3429</v>
      </c>
    </row>
    <row r="2515" spans="1:20">
      <c r="A2515" s="679">
        <v>6002620</v>
      </c>
      <c r="B2515" s="672"/>
      <c r="C2515" s="672"/>
      <c r="D2515" s="672"/>
      <c r="E2515" s="676" t="s">
        <v>1404</v>
      </c>
      <c r="F2515" s="680" t="s">
        <v>3430</v>
      </c>
      <c r="G2515" s="710">
        <v>600</v>
      </c>
      <c r="H2515" s="682">
        <v>2620</v>
      </c>
      <c r="J2515" s="668" t="str">
        <f t="shared" si="436"/>
        <v>(5) Other Supplies</v>
      </c>
      <c r="L2515" s="668">
        <v>126</v>
      </c>
      <c r="M2515" s="669">
        <v>117</v>
      </c>
      <c r="N2515" s="668"/>
      <c r="O2515" s="668">
        <v>18</v>
      </c>
      <c r="P2515" s="668" t="str">
        <f>IFERROR(VLOOKUP(F2515, [2]MOE!B:C, 2, FALSE), "No")</f>
        <v>No</v>
      </c>
      <c r="Q2515" s="711" t="s">
        <v>3381</v>
      </c>
      <c r="S2515" s="670" t="s">
        <v>3382</v>
      </c>
      <c r="T2515" s="668" t="s">
        <v>1050</v>
      </c>
    </row>
    <row r="2516" spans="1:20">
      <c r="A2516" s="671"/>
      <c r="B2516" s="672"/>
      <c r="C2516" s="672"/>
      <c r="D2516" s="672" t="s">
        <v>850</v>
      </c>
      <c r="E2516" s="676" t="s">
        <v>1052</v>
      </c>
      <c r="F2516" s="675"/>
      <c r="G2516" s="672"/>
      <c r="H2516" s="676"/>
      <c r="Q2516" s="711"/>
      <c r="S2516" s="670"/>
    </row>
    <row r="2517" spans="1:20">
      <c r="A2517" s="679">
        <v>7342620</v>
      </c>
      <c r="B2517" s="672"/>
      <c r="C2517" s="672"/>
      <c r="D2517" s="672"/>
      <c r="E2517" s="676" t="s">
        <v>1147</v>
      </c>
      <c r="F2517" s="680" t="s">
        <v>3431</v>
      </c>
      <c r="G2517" s="710">
        <v>734</v>
      </c>
      <c r="H2517" s="682">
        <v>2620</v>
      </c>
      <c r="J2517" s="668" t="str">
        <f t="shared" ref="J2517:J2521" si="437">E2517</f>
        <v>(1) Technology-Related Hardware</v>
      </c>
      <c r="L2517" s="668">
        <v>131</v>
      </c>
      <c r="M2517" s="669">
        <v>122</v>
      </c>
      <c r="N2517" s="668"/>
      <c r="O2517" s="668">
        <v>18</v>
      </c>
      <c r="P2517" s="668" t="str">
        <f>IFERROR(VLOOKUP(F2517, [2]MOE!B:C, 2, FALSE), "No")</f>
        <v>No</v>
      </c>
      <c r="Q2517" s="711"/>
      <c r="S2517" s="670" t="s">
        <v>3382</v>
      </c>
      <c r="T2517" s="668" t="s">
        <v>1053</v>
      </c>
    </row>
    <row r="2518" spans="1:20">
      <c r="A2518" s="679">
        <v>7352620</v>
      </c>
      <c r="B2518" s="672"/>
      <c r="C2518" s="672"/>
      <c r="D2518" s="672"/>
      <c r="E2518" s="676" t="s">
        <v>1149</v>
      </c>
      <c r="F2518" s="680" t="s">
        <v>3432</v>
      </c>
      <c r="G2518" s="710">
        <v>735</v>
      </c>
      <c r="H2518" s="682">
        <v>2620</v>
      </c>
      <c r="J2518" s="668" t="str">
        <f t="shared" si="437"/>
        <v>(2) Technology Software</v>
      </c>
      <c r="L2518" s="668">
        <v>131</v>
      </c>
      <c r="M2518" s="669">
        <v>122</v>
      </c>
      <c r="N2518" s="668"/>
      <c r="O2518" s="668">
        <v>18</v>
      </c>
      <c r="P2518" s="668" t="str">
        <f>IFERROR(VLOOKUP(F2518, [2]MOE!B:C, 2, FALSE), "No")</f>
        <v>No</v>
      </c>
      <c r="Q2518" s="711"/>
      <c r="S2518" s="670" t="s">
        <v>3382</v>
      </c>
      <c r="T2518" s="668" t="s">
        <v>1055</v>
      </c>
    </row>
    <row r="2519" spans="1:20">
      <c r="A2519" s="679">
        <v>7302620</v>
      </c>
      <c r="B2519" s="672"/>
      <c r="C2519" s="672"/>
      <c r="D2519" s="672"/>
      <c r="E2519" s="676" t="s">
        <v>1151</v>
      </c>
      <c r="F2519" s="680" t="s">
        <v>3433</v>
      </c>
      <c r="G2519" s="710">
        <v>730</v>
      </c>
      <c r="H2519" s="682">
        <v>2620</v>
      </c>
      <c r="J2519" s="668" t="str">
        <f t="shared" si="437"/>
        <v>(3) All Other Equipment</v>
      </c>
      <c r="L2519" s="668">
        <v>131</v>
      </c>
      <c r="M2519" s="669">
        <v>122</v>
      </c>
      <c r="N2519" s="668"/>
      <c r="O2519" s="668">
        <v>18</v>
      </c>
      <c r="P2519" s="668" t="str">
        <f>IFERROR(VLOOKUP(F2519, [2]MOE!B:C, 2, FALSE), "No")</f>
        <v>No</v>
      </c>
      <c r="Q2519" s="711"/>
      <c r="S2519" s="670" t="s">
        <v>3382</v>
      </c>
      <c r="T2519" s="668" t="s">
        <v>1057</v>
      </c>
    </row>
    <row r="2520" spans="1:20">
      <c r="A2520" s="679">
        <v>7002620</v>
      </c>
      <c r="B2520" s="672"/>
      <c r="C2520" s="672"/>
      <c r="D2520" s="672"/>
      <c r="E2520" s="676" t="s">
        <v>1153</v>
      </c>
      <c r="F2520" s="680" t="s">
        <v>3434</v>
      </c>
      <c r="G2520" s="710">
        <v>700</v>
      </c>
      <c r="H2520" s="682">
        <v>2620</v>
      </c>
      <c r="J2520" s="668" t="str">
        <f t="shared" si="437"/>
        <v>(4) Other Property</v>
      </c>
      <c r="L2520" s="668">
        <v>132</v>
      </c>
      <c r="M2520" s="669">
        <v>123</v>
      </c>
      <c r="N2520" s="668"/>
      <c r="O2520" s="668">
        <v>18</v>
      </c>
      <c r="P2520" s="668" t="str">
        <f>IFERROR(VLOOKUP(F2520, [2]MOE!B:C, 2, FALSE), "No")</f>
        <v>No</v>
      </c>
      <c r="Q2520" s="711"/>
      <c r="S2520" s="670" t="s">
        <v>3382</v>
      </c>
      <c r="T2520" s="668" t="s">
        <v>1059</v>
      </c>
    </row>
    <row r="2521" spans="1:20">
      <c r="A2521" s="679">
        <v>8002620</v>
      </c>
      <c r="B2521" s="672"/>
      <c r="C2521" s="672"/>
      <c r="D2521" s="672" t="s">
        <v>853</v>
      </c>
      <c r="E2521" s="676" t="s">
        <v>3071</v>
      </c>
      <c r="F2521" s="680" t="s">
        <v>3435</v>
      </c>
      <c r="G2521" s="710">
        <v>800</v>
      </c>
      <c r="H2521" s="682">
        <v>2620</v>
      </c>
      <c r="J2521" s="668" t="str">
        <f t="shared" si="437"/>
        <v>Miscellaneous Expenditures</v>
      </c>
      <c r="L2521" s="668">
        <v>139</v>
      </c>
      <c r="M2521" s="669">
        <v>129</v>
      </c>
      <c r="N2521" s="668"/>
      <c r="O2521" s="668">
        <v>18</v>
      </c>
      <c r="P2521" s="668" t="str">
        <f>IFERROR(VLOOKUP(F2521, [2]MOE!B:C, 2, FALSE), "No")</f>
        <v>No</v>
      </c>
      <c r="Q2521" s="711" t="s">
        <v>3381</v>
      </c>
      <c r="S2521" s="670" t="s">
        <v>3382</v>
      </c>
      <c r="T2521" s="668" t="s">
        <v>3071</v>
      </c>
    </row>
    <row r="2522" spans="1:20">
      <c r="A2522" s="671"/>
      <c r="B2522" s="672"/>
      <c r="C2522" s="678">
        <v>77</v>
      </c>
      <c r="D2522" s="925" t="s">
        <v>3436</v>
      </c>
      <c r="E2522" s="926"/>
      <c r="F2522" s="675"/>
      <c r="G2522" s="672"/>
      <c r="H2522" s="676"/>
      <c r="Q2522" s="711"/>
      <c r="S2522" s="670"/>
    </row>
    <row r="2523" spans="1:20">
      <c r="A2523" s="679">
        <v>4242630</v>
      </c>
      <c r="B2523" s="672"/>
      <c r="C2523" s="672"/>
      <c r="D2523" s="672" t="s">
        <v>759</v>
      </c>
      <c r="E2523" s="676" t="s">
        <v>3437</v>
      </c>
      <c r="F2523" s="680" t="s">
        <v>3438</v>
      </c>
      <c r="G2523" s="710">
        <v>424</v>
      </c>
      <c r="H2523" s="682">
        <v>2630</v>
      </c>
      <c r="J2523" s="668" t="str">
        <f t="shared" ref="J2523:J2529" si="438">E2523</f>
        <v>Lawn Care</v>
      </c>
      <c r="L2523" s="668">
        <v>108</v>
      </c>
      <c r="M2523" s="669">
        <v>103</v>
      </c>
      <c r="N2523" s="668"/>
      <c r="O2523" s="668">
        <v>18</v>
      </c>
      <c r="P2523" s="668" t="str">
        <f>IFERROR(VLOOKUP(F2523, [2]MOE!B:C, 2, FALSE), "No")</f>
        <v>No</v>
      </c>
      <c r="Q2523" s="711"/>
      <c r="S2523" s="670" t="s">
        <v>3436</v>
      </c>
      <c r="T2523" s="668" t="s">
        <v>3437</v>
      </c>
    </row>
    <row r="2524" spans="1:20">
      <c r="A2524" s="679">
        <v>4002630</v>
      </c>
      <c r="B2524" s="672"/>
      <c r="C2524" s="672"/>
      <c r="D2524" s="672" t="s">
        <v>777</v>
      </c>
      <c r="E2524" s="676" t="s">
        <v>1027</v>
      </c>
      <c r="F2524" s="680" t="s">
        <v>3439</v>
      </c>
      <c r="G2524" s="710">
        <v>400</v>
      </c>
      <c r="H2524" s="682">
        <v>2630</v>
      </c>
      <c r="J2524" s="668" t="str">
        <f t="shared" si="438"/>
        <v>Other Purchased Property Services</v>
      </c>
      <c r="L2524" s="668">
        <v>108</v>
      </c>
      <c r="M2524" s="669">
        <v>103</v>
      </c>
      <c r="N2524" s="668"/>
      <c r="O2524" s="668">
        <v>18</v>
      </c>
      <c r="P2524" s="668" t="str">
        <f>IFERROR(VLOOKUP(F2524, [2]MOE!B:C, 2, FALSE), "No")</f>
        <v>No</v>
      </c>
      <c r="Q2524" s="711"/>
      <c r="S2524" s="670" t="s">
        <v>3436</v>
      </c>
      <c r="T2524" s="668" t="s">
        <v>1027</v>
      </c>
    </row>
    <row r="2525" spans="1:20">
      <c r="A2525" s="679">
        <v>5002630</v>
      </c>
      <c r="B2525" s="672"/>
      <c r="C2525" s="672"/>
      <c r="D2525" s="672" t="s">
        <v>801</v>
      </c>
      <c r="E2525" s="676" t="s">
        <v>252</v>
      </c>
      <c r="F2525" s="680" t="s">
        <v>3440</v>
      </c>
      <c r="G2525" s="710">
        <v>500</v>
      </c>
      <c r="H2525" s="682">
        <v>2630</v>
      </c>
      <c r="J2525" s="668" t="str">
        <f t="shared" si="438"/>
        <v>Other Purchased Services</v>
      </c>
      <c r="L2525" s="668">
        <v>119</v>
      </c>
      <c r="M2525" s="669">
        <v>110</v>
      </c>
      <c r="N2525" s="668"/>
      <c r="O2525" s="668">
        <v>18</v>
      </c>
      <c r="P2525" s="668" t="str">
        <f>IFERROR(VLOOKUP(F2525, [2]MOE!B:C, 2, FALSE), "No")</f>
        <v>No</v>
      </c>
      <c r="Q2525" s="711"/>
      <c r="S2525" s="670" t="s">
        <v>3436</v>
      </c>
      <c r="T2525" s="668" t="s">
        <v>252</v>
      </c>
    </row>
    <row r="2526" spans="1:20">
      <c r="A2526" s="679">
        <v>6002630</v>
      </c>
      <c r="B2526" s="672"/>
      <c r="C2526" s="672"/>
      <c r="D2526" s="672" t="s">
        <v>805</v>
      </c>
      <c r="E2526" s="676" t="s">
        <v>254</v>
      </c>
      <c r="F2526" s="680" t="s">
        <v>3441</v>
      </c>
      <c r="G2526" s="710">
        <v>600</v>
      </c>
      <c r="H2526" s="682">
        <v>2630</v>
      </c>
      <c r="J2526" s="668" t="str">
        <f t="shared" si="438"/>
        <v>Supplies</v>
      </c>
      <c r="L2526" s="668">
        <v>126</v>
      </c>
      <c r="M2526" s="669">
        <v>117</v>
      </c>
      <c r="N2526" s="668"/>
      <c r="O2526" s="668">
        <v>18</v>
      </c>
      <c r="P2526" s="668" t="str">
        <f>IFERROR(VLOOKUP(F2526, [2]MOE!B:C, 2, FALSE), "No")</f>
        <v>No</v>
      </c>
      <c r="Q2526" s="711"/>
      <c r="S2526" s="670" t="s">
        <v>3436</v>
      </c>
      <c r="T2526" s="668" t="s">
        <v>254</v>
      </c>
    </row>
    <row r="2527" spans="1:20">
      <c r="A2527" s="679">
        <v>7302630</v>
      </c>
      <c r="B2527" s="672"/>
      <c r="C2527" s="672"/>
      <c r="D2527" s="672" t="s">
        <v>850</v>
      </c>
      <c r="E2527" s="676" t="s">
        <v>3442</v>
      </c>
      <c r="F2527" s="680" t="s">
        <v>3443</v>
      </c>
      <c r="G2527" s="710">
        <v>730</v>
      </c>
      <c r="H2527" s="682">
        <v>2630</v>
      </c>
      <c r="J2527" s="668" t="str">
        <f t="shared" si="438"/>
        <v>Equipment</v>
      </c>
      <c r="L2527" s="668">
        <v>131</v>
      </c>
      <c r="M2527" s="669">
        <v>122</v>
      </c>
      <c r="N2527" s="668"/>
      <c r="O2527" s="668">
        <v>18</v>
      </c>
      <c r="P2527" s="668" t="str">
        <f>IFERROR(VLOOKUP(F2527, [2]MOE!B:C, 2, FALSE), "No")</f>
        <v>No</v>
      </c>
      <c r="Q2527" s="711"/>
      <c r="S2527" s="670" t="s">
        <v>3436</v>
      </c>
      <c r="T2527" s="668" t="s">
        <v>3442</v>
      </c>
    </row>
    <row r="2528" spans="1:20">
      <c r="A2528" s="679">
        <v>7002630</v>
      </c>
      <c r="B2528" s="672"/>
      <c r="C2528" s="672"/>
      <c r="D2528" s="672" t="s">
        <v>853</v>
      </c>
      <c r="E2528" s="676" t="s">
        <v>1059</v>
      </c>
      <c r="F2528" s="680" t="s">
        <v>3444</v>
      </c>
      <c r="G2528" s="710">
        <v>700</v>
      </c>
      <c r="H2528" s="682">
        <v>2630</v>
      </c>
      <c r="J2528" s="668" t="str">
        <f t="shared" si="438"/>
        <v>Other Property</v>
      </c>
      <c r="L2528" s="668">
        <v>132</v>
      </c>
      <c r="M2528" s="669">
        <v>123</v>
      </c>
      <c r="N2528" s="668"/>
      <c r="O2528" s="668">
        <v>18</v>
      </c>
      <c r="P2528" s="668" t="str">
        <f>IFERROR(VLOOKUP(F2528, [2]MOE!B:C, 2, FALSE), "No")</f>
        <v>No</v>
      </c>
      <c r="Q2528" s="711"/>
      <c r="S2528" s="670" t="s">
        <v>3436</v>
      </c>
      <c r="T2528" s="668" t="s">
        <v>1059</v>
      </c>
    </row>
    <row r="2529" spans="1:20">
      <c r="A2529" s="679">
        <v>8002630</v>
      </c>
      <c r="B2529" s="672"/>
      <c r="C2529" s="672"/>
      <c r="D2529" s="672" t="s">
        <v>856</v>
      </c>
      <c r="E2529" s="676" t="s">
        <v>3071</v>
      </c>
      <c r="F2529" s="680" t="s">
        <v>3445</v>
      </c>
      <c r="G2529" s="710">
        <v>800</v>
      </c>
      <c r="H2529" s="682">
        <v>2630</v>
      </c>
      <c r="J2529" s="668" t="str">
        <f t="shared" si="438"/>
        <v>Miscellaneous Expenditures</v>
      </c>
      <c r="L2529" s="668">
        <v>139</v>
      </c>
      <c r="M2529" s="669">
        <v>129</v>
      </c>
      <c r="N2529" s="668"/>
      <c r="O2529" s="668">
        <v>18</v>
      </c>
      <c r="P2529" s="668" t="str">
        <f>IFERROR(VLOOKUP(F2529, [2]MOE!B:C, 2, FALSE), "No")</f>
        <v>No</v>
      </c>
      <c r="Q2529" s="711"/>
      <c r="S2529" s="670" t="s">
        <v>3436</v>
      </c>
      <c r="T2529" s="668" t="s">
        <v>3071</v>
      </c>
    </row>
    <row r="2530" spans="1:20">
      <c r="A2530" s="671"/>
      <c r="B2530" s="672"/>
      <c r="C2530" s="678">
        <v>78</v>
      </c>
      <c r="D2530" s="927" t="s">
        <v>3446</v>
      </c>
      <c r="E2530" s="926"/>
      <c r="F2530" s="675"/>
      <c r="G2530" s="672"/>
      <c r="H2530" s="676"/>
      <c r="Q2530" s="711"/>
      <c r="S2530" s="670"/>
    </row>
    <row r="2531" spans="1:20">
      <c r="A2531" s="679">
        <v>4302640</v>
      </c>
      <c r="B2531" s="672"/>
      <c r="C2531" s="672"/>
      <c r="D2531" s="672" t="s">
        <v>759</v>
      </c>
      <c r="E2531" s="676" t="s">
        <v>1023</v>
      </c>
      <c r="F2531" s="680" t="s">
        <v>3447</v>
      </c>
      <c r="G2531" s="710">
        <v>430</v>
      </c>
      <c r="H2531" s="682">
        <v>2640</v>
      </c>
      <c r="J2531" s="668" t="str">
        <f t="shared" ref="J2531:J2538" si="439">E2531</f>
        <v>Repairs and Maintenance Services</v>
      </c>
      <c r="L2531" s="668">
        <v>107</v>
      </c>
      <c r="M2531" s="669">
        <v>102</v>
      </c>
      <c r="N2531" s="668"/>
      <c r="O2531" s="668">
        <v>18</v>
      </c>
      <c r="P2531" s="668" t="str">
        <f>IFERROR(VLOOKUP(F2531, [2]MOE!B:C, 2, FALSE), "No")</f>
        <v>No</v>
      </c>
      <c r="Q2531" s="711" t="s">
        <v>3381</v>
      </c>
      <c r="S2531" s="670" t="s">
        <v>3436</v>
      </c>
      <c r="T2531" s="668" t="s">
        <v>1023</v>
      </c>
    </row>
    <row r="2532" spans="1:20">
      <c r="A2532" s="679">
        <v>4422640</v>
      </c>
      <c r="B2532" s="672"/>
      <c r="C2532" s="672"/>
      <c r="D2532" s="672" t="s">
        <v>777</v>
      </c>
      <c r="E2532" s="676" t="s">
        <v>1384</v>
      </c>
      <c r="F2532" s="680" t="s">
        <v>3448</v>
      </c>
      <c r="G2532" s="710">
        <v>442</v>
      </c>
      <c r="H2532" s="682">
        <v>2640</v>
      </c>
      <c r="J2532" s="668" t="str">
        <f t="shared" si="439"/>
        <v>Rental of Equipment and Vehicles</v>
      </c>
      <c r="L2532" s="668">
        <v>106</v>
      </c>
      <c r="M2532" s="669">
        <v>101</v>
      </c>
      <c r="N2532" s="668"/>
      <c r="O2532" s="668">
        <v>18</v>
      </c>
      <c r="P2532" s="668" t="str">
        <f>IFERROR(VLOOKUP(F2532, [2]MOE!B:C, 2, FALSE), "No")</f>
        <v>No</v>
      </c>
      <c r="Q2532" s="711" t="s">
        <v>3381</v>
      </c>
      <c r="S2532" s="670" t="s">
        <v>3436</v>
      </c>
      <c r="T2532" s="668" t="s">
        <v>1384</v>
      </c>
    </row>
    <row r="2533" spans="1:20">
      <c r="A2533" s="679">
        <v>4002640</v>
      </c>
      <c r="B2533" s="672"/>
      <c r="C2533" s="672"/>
      <c r="D2533" s="672" t="s">
        <v>801</v>
      </c>
      <c r="E2533" s="676" t="s">
        <v>1027</v>
      </c>
      <c r="F2533" s="680" t="s">
        <v>3449</v>
      </c>
      <c r="G2533" s="710">
        <v>400</v>
      </c>
      <c r="H2533" s="682">
        <v>2640</v>
      </c>
      <c r="J2533" s="668" t="str">
        <f t="shared" si="439"/>
        <v>Other Purchased Property Services</v>
      </c>
      <c r="L2533" s="668">
        <v>108</v>
      </c>
      <c r="M2533" s="669">
        <v>103</v>
      </c>
      <c r="N2533" s="668"/>
      <c r="O2533" s="668">
        <v>18</v>
      </c>
      <c r="P2533" s="668" t="str">
        <f>IFERROR(VLOOKUP(F2533, [2]MOE!B:C, 2, FALSE), "No")</f>
        <v>No</v>
      </c>
      <c r="Q2533" s="711" t="s">
        <v>3381</v>
      </c>
      <c r="S2533" s="670" t="s">
        <v>3436</v>
      </c>
      <c r="T2533" s="668" t="s">
        <v>1027</v>
      </c>
    </row>
    <row r="2534" spans="1:20">
      <c r="A2534" s="679">
        <v>5002640</v>
      </c>
      <c r="B2534" s="672"/>
      <c r="C2534" s="672"/>
      <c r="D2534" s="672" t="s">
        <v>805</v>
      </c>
      <c r="E2534" s="676" t="s">
        <v>252</v>
      </c>
      <c r="F2534" s="680" t="s">
        <v>3450</v>
      </c>
      <c r="G2534" s="710">
        <v>500</v>
      </c>
      <c r="H2534" s="682">
        <v>2640</v>
      </c>
      <c r="J2534" s="668" t="str">
        <f t="shared" si="439"/>
        <v>Other Purchased Services</v>
      </c>
      <c r="L2534" s="668">
        <v>119</v>
      </c>
      <c r="M2534" s="669">
        <v>110</v>
      </c>
      <c r="N2534" s="668"/>
      <c r="O2534" s="668">
        <v>18</v>
      </c>
      <c r="P2534" s="668" t="str">
        <f>IFERROR(VLOOKUP(F2534, [2]MOE!B:C, 2, FALSE), "No")</f>
        <v>No</v>
      </c>
      <c r="Q2534" s="711" t="s">
        <v>3381</v>
      </c>
      <c r="S2534" s="670" t="s">
        <v>3436</v>
      </c>
      <c r="T2534" s="668" t="s">
        <v>252</v>
      </c>
    </row>
    <row r="2535" spans="1:20">
      <c r="A2535" s="679">
        <v>6002640</v>
      </c>
      <c r="B2535" s="672"/>
      <c r="C2535" s="672"/>
      <c r="D2535" s="672" t="s">
        <v>850</v>
      </c>
      <c r="E2535" s="676" t="s">
        <v>254</v>
      </c>
      <c r="F2535" s="680" t="s">
        <v>3451</v>
      </c>
      <c r="G2535" s="710">
        <v>600</v>
      </c>
      <c r="H2535" s="682">
        <v>2640</v>
      </c>
      <c r="J2535" s="668" t="str">
        <f t="shared" si="439"/>
        <v>Supplies</v>
      </c>
      <c r="L2535" s="668">
        <v>126</v>
      </c>
      <c r="M2535" s="669">
        <v>117</v>
      </c>
      <c r="N2535" s="668"/>
      <c r="O2535" s="668">
        <v>18</v>
      </c>
      <c r="P2535" s="668" t="str">
        <f>IFERROR(VLOOKUP(F2535, [2]MOE!B:C, 2, FALSE), "No")</f>
        <v>No</v>
      </c>
      <c r="Q2535" s="711" t="s">
        <v>3381</v>
      </c>
      <c r="S2535" s="670" t="s">
        <v>3436</v>
      </c>
      <c r="T2535" s="668" t="s">
        <v>254</v>
      </c>
    </row>
    <row r="2536" spans="1:20">
      <c r="A2536" s="679">
        <v>7302640</v>
      </c>
      <c r="B2536" s="672"/>
      <c r="C2536" s="672"/>
      <c r="D2536" s="672" t="s">
        <v>853</v>
      </c>
      <c r="E2536" s="676" t="s">
        <v>3442</v>
      </c>
      <c r="F2536" s="680" t="s">
        <v>3452</v>
      </c>
      <c r="G2536" s="710">
        <v>730</v>
      </c>
      <c r="H2536" s="682">
        <v>2640</v>
      </c>
      <c r="J2536" s="668" t="str">
        <f t="shared" si="439"/>
        <v>Equipment</v>
      </c>
      <c r="L2536" s="668">
        <v>131</v>
      </c>
      <c r="M2536" s="669">
        <v>122</v>
      </c>
      <c r="N2536" s="668"/>
      <c r="O2536" s="668">
        <v>18</v>
      </c>
      <c r="P2536" s="668" t="str">
        <f>IFERROR(VLOOKUP(F2536, [2]MOE!B:C, 2, FALSE), "No")</f>
        <v>No</v>
      </c>
      <c r="Q2536" s="711"/>
      <c r="S2536" s="670" t="s">
        <v>3436</v>
      </c>
      <c r="T2536" s="668" t="s">
        <v>3442</v>
      </c>
    </row>
    <row r="2537" spans="1:20">
      <c r="A2537" s="679">
        <v>7002640</v>
      </c>
      <c r="B2537" s="672"/>
      <c r="C2537" s="672"/>
      <c r="D2537" s="672" t="s">
        <v>856</v>
      </c>
      <c r="E2537" s="676" t="s">
        <v>1059</v>
      </c>
      <c r="F2537" s="680" t="s">
        <v>3453</v>
      </c>
      <c r="G2537" s="710">
        <v>700</v>
      </c>
      <c r="H2537" s="682">
        <v>2640</v>
      </c>
      <c r="J2537" s="668" t="str">
        <f t="shared" si="439"/>
        <v>Other Property</v>
      </c>
      <c r="L2537" s="668">
        <v>132</v>
      </c>
      <c r="M2537" s="669">
        <v>123</v>
      </c>
      <c r="N2537" s="668"/>
      <c r="O2537" s="668">
        <v>18</v>
      </c>
      <c r="P2537" s="668" t="str">
        <f>IFERROR(VLOOKUP(F2537, [2]MOE!B:C, 2, FALSE), "No")</f>
        <v>No</v>
      </c>
      <c r="Q2537" s="711"/>
      <c r="S2537" s="670" t="s">
        <v>3436</v>
      </c>
      <c r="T2537" s="668" t="s">
        <v>1059</v>
      </c>
    </row>
    <row r="2538" spans="1:20">
      <c r="A2538" s="679">
        <v>8002640</v>
      </c>
      <c r="B2538" s="672"/>
      <c r="C2538" s="672"/>
      <c r="D2538" s="672" t="s">
        <v>859</v>
      </c>
      <c r="E2538" s="676" t="s">
        <v>3071</v>
      </c>
      <c r="F2538" s="680" t="s">
        <v>3454</v>
      </c>
      <c r="G2538" s="710">
        <v>800</v>
      </c>
      <c r="H2538" s="682">
        <v>2640</v>
      </c>
      <c r="J2538" s="668" t="str">
        <f t="shared" si="439"/>
        <v>Miscellaneous Expenditures</v>
      </c>
      <c r="L2538" s="668">
        <v>139</v>
      </c>
      <c r="M2538" s="669">
        <v>129</v>
      </c>
      <c r="N2538" s="668"/>
      <c r="O2538" s="668">
        <v>18</v>
      </c>
      <c r="P2538" s="668" t="str">
        <f>IFERROR(VLOOKUP(F2538, [2]MOE!B:C, 2, FALSE), "No")</f>
        <v>No</v>
      </c>
      <c r="Q2538" s="711" t="s">
        <v>3381</v>
      </c>
      <c r="S2538" s="670" t="s">
        <v>3436</v>
      </c>
      <c r="T2538" s="668" t="s">
        <v>3071</v>
      </c>
    </row>
    <row r="2539" spans="1:20">
      <c r="A2539" s="671"/>
      <c r="B2539" s="672"/>
      <c r="C2539" s="678">
        <v>79</v>
      </c>
      <c r="D2539" s="925" t="s">
        <v>3455</v>
      </c>
      <c r="E2539" s="926"/>
      <c r="F2539" s="675"/>
      <c r="G2539" s="672"/>
      <c r="H2539" s="676"/>
      <c r="Q2539" s="711"/>
      <c r="S2539" s="670"/>
    </row>
    <row r="2540" spans="1:20">
      <c r="A2540" s="679">
        <v>4302650</v>
      </c>
      <c r="B2540" s="672"/>
      <c r="C2540" s="672"/>
      <c r="D2540" s="672" t="s">
        <v>759</v>
      </c>
      <c r="E2540" s="676" t="s">
        <v>1023</v>
      </c>
      <c r="F2540" s="680" t="s">
        <v>3456</v>
      </c>
      <c r="G2540" s="710">
        <v>430</v>
      </c>
      <c r="H2540" s="682">
        <v>2650</v>
      </c>
      <c r="J2540" s="668" t="str">
        <f t="shared" ref="J2540:J2548" si="440">E2540</f>
        <v>Repairs and Maintenance Services</v>
      </c>
      <c r="L2540" s="668">
        <v>107</v>
      </c>
      <c r="M2540" s="669">
        <v>102</v>
      </c>
      <c r="N2540" s="668"/>
      <c r="O2540" s="668">
        <v>18</v>
      </c>
      <c r="P2540" s="668" t="str">
        <f>IFERROR(VLOOKUP(F2540, [2]MOE!B:C, 2, FALSE), "No")</f>
        <v>No</v>
      </c>
      <c r="Q2540" s="711"/>
      <c r="S2540" s="670" t="s">
        <v>3457</v>
      </c>
      <c r="T2540" s="668" t="s">
        <v>1023</v>
      </c>
    </row>
    <row r="2541" spans="1:20">
      <c r="A2541" s="679">
        <v>4002650</v>
      </c>
      <c r="B2541" s="672"/>
      <c r="C2541" s="672"/>
      <c r="D2541" s="672" t="s">
        <v>777</v>
      </c>
      <c r="E2541" s="676" t="s">
        <v>1027</v>
      </c>
      <c r="F2541" s="680" t="s">
        <v>3458</v>
      </c>
      <c r="G2541" s="710">
        <v>400</v>
      </c>
      <c r="H2541" s="682">
        <v>2650</v>
      </c>
      <c r="J2541" s="668" t="str">
        <f t="shared" si="440"/>
        <v>Other Purchased Property Services</v>
      </c>
      <c r="L2541" s="668">
        <v>108</v>
      </c>
      <c r="M2541" s="669">
        <v>103</v>
      </c>
      <c r="N2541" s="668"/>
      <c r="O2541" s="668">
        <v>18</v>
      </c>
      <c r="P2541" s="668" t="str">
        <f>IFERROR(VLOOKUP(F2541, [2]MOE!B:C, 2, FALSE), "No")</f>
        <v>No</v>
      </c>
      <c r="Q2541" s="711"/>
      <c r="S2541" s="670" t="s">
        <v>3457</v>
      </c>
      <c r="T2541" s="668" t="s">
        <v>1027</v>
      </c>
    </row>
    <row r="2542" spans="1:20">
      <c r="A2542" s="679">
        <v>5232650</v>
      </c>
      <c r="B2542" s="672"/>
      <c r="C2542" s="672"/>
      <c r="D2542" s="672" t="s">
        <v>801</v>
      </c>
      <c r="E2542" s="676" t="s">
        <v>1388</v>
      </c>
      <c r="F2542" s="680" t="s">
        <v>3459</v>
      </c>
      <c r="G2542" s="710">
        <v>523</v>
      </c>
      <c r="H2542" s="682">
        <v>2650</v>
      </c>
      <c r="J2542" s="668" t="str">
        <f t="shared" si="440"/>
        <v>Fleet Insurance</v>
      </c>
      <c r="L2542" s="668">
        <v>114</v>
      </c>
      <c r="M2542" s="669">
        <v>107</v>
      </c>
      <c r="N2542" s="668"/>
      <c r="O2542" s="668">
        <v>18</v>
      </c>
      <c r="P2542" s="668" t="str">
        <f>IFERROR(VLOOKUP(F2542, [2]MOE!B:C, 2, FALSE), "No")</f>
        <v>No</v>
      </c>
      <c r="Q2542" s="711"/>
      <c r="S2542" s="670" t="s">
        <v>3457</v>
      </c>
      <c r="T2542" s="668" t="s">
        <v>1388</v>
      </c>
    </row>
    <row r="2543" spans="1:20">
      <c r="A2543" s="679">
        <v>5002650</v>
      </c>
      <c r="B2543" s="672"/>
      <c r="C2543" s="672"/>
      <c r="D2543" s="672" t="s">
        <v>805</v>
      </c>
      <c r="E2543" s="676" t="s">
        <v>252</v>
      </c>
      <c r="F2543" s="680" t="s">
        <v>3460</v>
      </c>
      <c r="G2543" s="710">
        <v>500</v>
      </c>
      <c r="H2543" s="682">
        <v>2650</v>
      </c>
      <c r="J2543" s="668" t="str">
        <f t="shared" si="440"/>
        <v>Other Purchased Services</v>
      </c>
      <c r="L2543" s="668">
        <v>119</v>
      </c>
      <c r="M2543" s="669">
        <v>110</v>
      </c>
      <c r="N2543" s="668"/>
      <c r="O2543" s="668">
        <v>18</v>
      </c>
      <c r="P2543" s="668" t="str">
        <f>IFERROR(VLOOKUP(F2543, [2]MOE!B:C, 2, FALSE), "No")</f>
        <v>No</v>
      </c>
      <c r="Q2543" s="711"/>
      <c r="S2543" s="670" t="s">
        <v>3457</v>
      </c>
      <c r="T2543" s="668" t="s">
        <v>252</v>
      </c>
    </row>
    <row r="2544" spans="1:20">
      <c r="A2544" s="679">
        <v>6262650</v>
      </c>
      <c r="B2544" s="672"/>
      <c r="C2544" s="672"/>
      <c r="D2544" s="672" t="s">
        <v>850</v>
      </c>
      <c r="E2544" s="676" t="s">
        <v>1401</v>
      </c>
      <c r="F2544" s="680" t="s">
        <v>3461</v>
      </c>
      <c r="G2544" s="710">
        <v>626</v>
      </c>
      <c r="H2544" s="682">
        <v>2650</v>
      </c>
      <c r="J2544" s="668" t="str">
        <f t="shared" si="440"/>
        <v>Fuel</v>
      </c>
      <c r="L2544" s="668">
        <v>123</v>
      </c>
      <c r="M2544" s="669">
        <v>114</v>
      </c>
      <c r="N2544" s="668"/>
      <c r="O2544" s="668">
        <v>18</v>
      </c>
      <c r="P2544" s="668" t="str">
        <f>IFERROR(VLOOKUP(F2544, [2]MOE!B:C, 2, FALSE), "No")</f>
        <v>No</v>
      </c>
      <c r="Q2544" s="711" t="s">
        <v>1045</v>
      </c>
      <c r="S2544" s="670" t="s">
        <v>3457</v>
      </c>
      <c r="T2544" s="668" t="s">
        <v>1401</v>
      </c>
    </row>
    <row r="2545" spans="1:20">
      <c r="A2545" s="679">
        <v>6002650</v>
      </c>
      <c r="B2545" s="672"/>
      <c r="C2545" s="672"/>
      <c r="D2545" s="672" t="s">
        <v>853</v>
      </c>
      <c r="E2545" s="676" t="s">
        <v>254</v>
      </c>
      <c r="F2545" s="680" t="s">
        <v>3462</v>
      </c>
      <c r="G2545" s="710">
        <v>600</v>
      </c>
      <c r="H2545" s="682">
        <v>2650</v>
      </c>
      <c r="J2545" s="668" t="str">
        <f t="shared" si="440"/>
        <v>Supplies</v>
      </c>
      <c r="L2545" s="668">
        <v>126</v>
      </c>
      <c r="M2545" s="669">
        <v>117</v>
      </c>
      <c r="N2545" s="668"/>
      <c r="O2545" s="668">
        <v>18</v>
      </c>
      <c r="P2545" s="668" t="str">
        <f>IFERROR(VLOOKUP(F2545, [2]MOE!B:C, 2, FALSE), "No")</f>
        <v>No</v>
      </c>
      <c r="Q2545" s="711"/>
      <c r="S2545" s="670" t="s">
        <v>3457</v>
      </c>
      <c r="T2545" s="668" t="s">
        <v>254</v>
      </c>
    </row>
    <row r="2546" spans="1:20">
      <c r="A2546" s="679">
        <v>7302650</v>
      </c>
      <c r="B2546" s="672"/>
      <c r="C2546" s="672"/>
      <c r="D2546" s="672" t="s">
        <v>856</v>
      </c>
      <c r="E2546" s="676" t="s">
        <v>3463</v>
      </c>
      <c r="F2546" s="680" t="s">
        <v>3464</v>
      </c>
      <c r="G2546" s="710">
        <v>730</v>
      </c>
      <c r="H2546" s="682">
        <v>2650</v>
      </c>
      <c r="J2546" s="668" t="str">
        <f t="shared" si="440"/>
        <v>Equipment (Including Vehicles)</v>
      </c>
      <c r="L2546" s="668">
        <v>131</v>
      </c>
      <c r="M2546" s="669">
        <v>122</v>
      </c>
      <c r="N2546" s="668"/>
      <c r="O2546" s="668">
        <v>18</v>
      </c>
      <c r="P2546" s="668" t="str">
        <f>IFERROR(VLOOKUP(F2546, [2]MOE!B:C, 2, FALSE), "No")</f>
        <v>No</v>
      </c>
      <c r="Q2546" s="711"/>
      <c r="S2546" s="670" t="s">
        <v>3457</v>
      </c>
      <c r="T2546" s="668" t="s">
        <v>3442</v>
      </c>
    </row>
    <row r="2547" spans="1:20">
      <c r="A2547" s="679">
        <v>7002650</v>
      </c>
      <c r="B2547" s="672"/>
      <c r="C2547" s="672"/>
      <c r="D2547" s="672" t="s">
        <v>859</v>
      </c>
      <c r="E2547" s="676" t="s">
        <v>1059</v>
      </c>
      <c r="F2547" s="680" t="s">
        <v>3465</v>
      </c>
      <c r="G2547" s="710">
        <v>700</v>
      </c>
      <c r="H2547" s="682">
        <v>2650</v>
      </c>
      <c r="J2547" s="668" t="str">
        <f t="shared" si="440"/>
        <v>Other Property</v>
      </c>
      <c r="L2547" s="668">
        <v>132</v>
      </c>
      <c r="M2547" s="669">
        <v>123</v>
      </c>
      <c r="N2547" s="668"/>
      <c r="O2547" s="668">
        <v>18</v>
      </c>
      <c r="P2547" s="668" t="str">
        <f>IFERROR(VLOOKUP(F2547, [2]MOE!B:C, 2, FALSE), "No")</f>
        <v>No</v>
      </c>
      <c r="Q2547" s="711"/>
      <c r="S2547" s="670" t="s">
        <v>3457</v>
      </c>
      <c r="T2547" s="668" t="s">
        <v>1059</v>
      </c>
    </row>
    <row r="2548" spans="1:20">
      <c r="A2548" s="679">
        <v>8002650</v>
      </c>
      <c r="B2548" s="672"/>
      <c r="C2548" s="672"/>
      <c r="D2548" s="672" t="s">
        <v>862</v>
      </c>
      <c r="E2548" s="676" t="s">
        <v>3071</v>
      </c>
      <c r="F2548" s="680" t="s">
        <v>3466</v>
      </c>
      <c r="G2548" s="710">
        <v>800</v>
      </c>
      <c r="H2548" s="682">
        <v>2650</v>
      </c>
      <c r="J2548" s="668" t="str">
        <f t="shared" si="440"/>
        <v>Miscellaneous Expenditures</v>
      </c>
      <c r="L2548" s="668">
        <v>139</v>
      </c>
      <c r="M2548" s="669">
        <v>129</v>
      </c>
      <c r="N2548" s="668"/>
      <c r="O2548" s="668">
        <v>18</v>
      </c>
      <c r="P2548" s="668" t="str">
        <f>IFERROR(VLOOKUP(F2548, [2]MOE!B:C, 2, FALSE), "No")</f>
        <v>No</v>
      </c>
      <c r="Q2548" s="711"/>
      <c r="S2548" s="670" t="s">
        <v>3457</v>
      </c>
      <c r="T2548" s="668" t="s">
        <v>3071</v>
      </c>
    </row>
    <row r="2549" spans="1:20">
      <c r="A2549" s="671"/>
      <c r="B2549" s="672"/>
      <c r="C2549" s="678">
        <v>80</v>
      </c>
      <c r="D2549" s="925" t="s">
        <v>3467</v>
      </c>
      <c r="E2549" s="926"/>
      <c r="F2549" s="675"/>
      <c r="G2549" s="672"/>
      <c r="H2549" s="676"/>
      <c r="Q2549" s="711"/>
      <c r="S2549" s="670"/>
    </row>
    <row r="2550" spans="1:20">
      <c r="A2550" s="679">
        <v>3002660</v>
      </c>
      <c r="B2550" s="672"/>
      <c r="C2550" s="672"/>
      <c r="D2550" s="672" t="s">
        <v>759</v>
      </c>
      <c r="E2550" s="676" t="s">
        <v>1113</v>
      </c>
      <c r="F2550" s="680" t="s">
        <v>3468</v>
      </c>
      <c r="G2550" s="710">
        <v>300</v>
      </c>
      <c r="H2550" s="682">
        <v>2660</v>
      </c>
      <c r="J2550" s="668" t="str">
        <f t="shared" ref="J2550:J2552" si="441">E2550</f>
        <v>Purchased Professional and Technical Svcs</v>
      </c>
      <c r="L2550" s="668">
        <v>101</v>
      </c>
      <c r="M2550" s="669">
        <v>96</v>
      </c>
      <c r="N2550" s="668"/>
      <c r="O2550" s="668">
        <v>18</v>
      </c>
      <c r="P2550" s="668" t="str">
        <f>IFERROR(VLOOKUP(F2550, [2]MOE!B:C, 2, FALSE), "No")</f>
        <v>No</v>
      </c>
      <c r="Q2550" s="711"/>
      <c r="S2550" s="670" t="s">
        <v>3467</v>
      </c>
      <c r="T2550" s="668" t="s">
        <v>1113</v>
      </c>
    </row>
    <row r="2551" spans="1:20">
      <c r="A2551" s="679">
        <v>4002660</v>
      </c>
      <c r="B2551" s="672"/>
      <c r="C2551" s="672"/>
      <c r="D2551" s="672" t="s">
        <v>777</v>
      </c>
      <c r="E2551" s="676" t="s">
        <v>1027</v>
      </c>
      <c r="F2551" s="680" t="s">
        <v>3469</v>
      </c>
      <c r="G2551" s="710">
        <v>400</v>
      </c>
      <c r="H2551" s="682">
        <v>2660</v>
      </c>
      <c r="J2551" s="668" t="str">
        <f t="shared" si="441"/>
        <v>Other Purchased Property Services</v>
      </c>
      <c r="L2551" s="668">
        <v>108</v>
      </c>
      <c r="M2551" s="669">
        <v>103</v>
      </c>
      <c r="N2551" s="668"/>
      <c r="O2551" s="668">
        <v>18</v>
      </c>
      <c r="P2551" s="668" t="str">
        <f>IFERROR(VLOOKUP(F2551, [2]MOE!B:C, 2, FALSE), "No")</f>
        <v>No</v>
      </c>
      <c r="Q2551" s="711"/>
      <c r="S2551" s="670" t="s">
        <v>3467</v>
      </c>
      <c r="T2551" s="668" t="s">
        <v>1027</v>
      </c>
    </row>
    <row r="2552" spans="1:20">
      <c r="A2552" s="679">
        <v>5002660</v>
      </c>
      <c r="B2552" s="672"/>
      <c r="C2552" s="672"/>
      <c r="D2552" s="672" t="s">
        <v>801</v>
      </c>
      <c r="E2552" s="676" t="s">
        <v>252</v>
      </c>
      <c r="F2552" s="680" t="s">
        <v>3470</v>
      </c>
      <c r="G2552" s="710">
        <v>500</v>
      </c>
      <c r="H2552" s="682">
        <v>2660</v>
      </c>
      <c r="J2552" s="668" t="str">
        <f t="shared" si="441"/>
        <v>Other Purchased Services</v>
      </c>
      <c r="L2552" s="668">
        <v>119</v>
      </c>
      <c r="M2552" s="669">
        <v>110</v>
      </c>
      <c r="N2552" s="668"/>
      <c r="O2552" s="668">
        <v>18</v>
      </c>
      <c r="P2552" s="668" t="str">
        <f>IFERROR(VLOOKUP(F2552, [2]MOE!B:C, 2, FALSE), "No")</f>
        <v>No</v>
      </c>
      <c r="Q2552" s="711"/>
      <c r="S2552" s="670" t="s">
        <v>3467</v>
      </c>
      <c r="T2552" s="668" t="s">
        <v>252</v>
      </c>
    </row>
    <row r="2553" spans="1:20">
      <c r="A2553" s="671"/>
      <c r="B2553" s="672"/>
      <c r="C2553" s="672"/>
      <c r="D2553" s="672" t="s">
        <v>805</v>
      </c>
      <c r="E2553" s="676" t="s">
        <v>254</v>
      </c>
      <c r="F2553" s="675"/>
      <c r="G2553" s="672"/>
      <c r="H2553" s="676"/>
      <c r="Q2553" s="711"/>
      <c r="S2553" s="670"/>
    </row>
    <row r="2554" spans="1:20">
      <c r="A2554" s="679">
        <v>6152660</v>
      </c>
      <c r="B2554" s="672"/>
      <c r="C2554" s="672"/>
      <c r="D2554" s="672"/>
      <c r="E2554" s="676" t="s">
        <v>1139</v>
      </c>
      <c r="F2554" s="680" t="s">
        <v>3471</v>
      </c>
      <c r="G2554" s="710">
        <v>615</v>
      </c>
      <c r="H2554" s="682">
        <v>2660</v>
      </c>
      <c r="J2554" s="668" t="str">
        <f t="shared" ref="J2554:J2555" si="442">E2554</f>
        <v>(1) Technology-Related Supplies</v>
      </c>
      <c r="L2554" s="668">
        <v>126</v>
      </c>
      <c r="M2554" s="669">
        <v>117</v>
      </c>
      <c r="N2554" s="668"/>
      <c r="O2554" s="668">
        <v>18</v>
      </c>
      <c r="P2554" s="668" t="str">
        <f>IFERROR(VLOOKUP(F2554, [2]MOE!B:C, 2, FALSE), "No")</f>
        <v>No</v>
      </c>
      <c r="Q2554" s="711" t="s">
        <v>1045</v>
      </c>
      <c r="S2554" s="670" t="s">
        <v>3467</v>
      </c>
      <c r="T2554" s="668" t="s">
        <v>1043</v>
      </c>
    </row>
    <row r="2555" spans="1:20">
      <c r="A2555" s="679">
        <v>6002660</v>
      </c>
      <c r="B2555" s="672"/>
      <c r="C2555" s="672"/>
      <c r="D2555" s="672"/>
      <c r="E2555" s="676" t="s">
        <v>3472</v>
      </c>
      <c r="F2555" s="680" t="s">
        <v>3473</v>
      </c>
      <c r="G2555" s="710">
        <v>600</v>
      </c>
      <c r="H2555" s="682">
        <v>2660</v>
      </c>
      <c r="J2555" s="668" t="str">
        <f t="shared" si="442"/>
        <v>(2) Other Supplies</v>
      </c>
      <c r="L2555" s="668">
        <v>126</v>
      </c>
      <c r="M2555" s="669">
        <v>117</v>
      </c>
      <c r="N2555" s="668"/>
      <c r="O2555" s="668">
        <v>18</v>
      </c>
      <c r="P2555" s="668" t="str">
        <f>IFERROR(VLOOKUP(F2555, [2]MOE!B:C, 2, FALSE), "No")</f>
        <v>No</v>
      </c>
      <c r="Q2555" s="711"/>
      <c r="S2555" s="670" t="s">
        <v>3467</v>
      </c>
      <c r="T2555" s="668" t="s">
        <v>1050</v>
      </c>
    </row>
    <row r="2556" spans="1:20">
      <c r="A2556" s="671"/>
      <c r="B2556" s="672"/>
      <c r="C2556" s="672"/>
      <c r="D2556" s="672" t="s">
        <v>850</v>
      </c>
      <c r="E2556" s="676" t="s">
        <v>1052</v>
      </c>
      <c r="F2556" s="675"/>
      <c r="G2556" s="672"/>
      <c r="H2556" s="676"/>
      <c r="Q2556" s="711"/>
      <c r="S2556" s="670"/>
    </row>
    <row r="2557" spans="1:20">
      <c r="A2557" s="679">
        <v>7342660</v>
      </c>
      <c r="B2557" s="672"/>
      <c r="C2557" s="672"/>
      <c r="D2557" s="672"/>
      <c r="E2557" s="676" t="s">
        <v>1147</v>
      </c>
      <c r="F2557" s="680" t="s">
        <v>3474</v>
      </c>
      <c r="G2557" s="710">
        <v>734</v>
      </c>
      <c r="H2557" s="682">
        <v>2660</v>
      </c>
      <c r="J2557" s="668" t="str">
        <f t="shared" ref="J2557:J2560" si="443">E2557</f>
        <v>(1) Technology-Related Hardware</v>
      </c>
      <c r="L2557" s="668">
        <v>131</v>
      </c>
      <c r="M2557" s="669">
        <v>122</v>
      </c>
      <c r="N2557" s="668"/>
      <c r="O2557" s="668">
        <v>18</v>
      </c>
      <c r="P2557" s="668" t="str">
        <f>IFERROR(VLOOKUP(F2557, [2]MOE!B:C, 2, FALSE), "No")</f>
        <v>No</v>
      </c>
      <c r="Q2557" s="711"/>
      <c r="S2557" s="670" t="s">
        <v>3467</v>
      </c>
      <c r="T2557" s="668" t="s">
        <v>1053</v>
      </c>
    </row>
    <row r="2558" spans="1:20">
      <c r="A2558" s="679">
        <v>7352660</v>
      </c>
      <c r="B2558" s="672"/>
      <c r="C2558" s="672"/>
      <c r="D2558" s="672"/>
      <c r="E2558" s="676" t="s">
        <v>1149</v>
      </c>
      <c r="F2558" s="680" t="s">
        <v>3475</v>
      </c>
      <c r="G2558" s="710">
        <v>735</v>
      </c>
      <c r="H2558" s="682">
        <v>2660</v>
      </c>
      <c r="J2558" s="668" t="str">
        <f t="shared" si="443"/>
        <v>(2) Technology Software</v>
      </c>
      <c r="L2558" s="668">
        <v>131</v>
      </c>
      <c r="M2558" s="669">
        <v>122</v>
      </c>
      <c r="N2558" s="668"/>
      <c r="O2558" s="668">
        <v>18</v>
      </c>
      <c r="P2558" s="668" t="str">
        <f>IFERROR(VLOOKUP(F2558, [2]MOE!B:C, 2, FALSE), "No")</f>
        <v>No</v>
      </c>
      <c r="Q2558" s="711"/>
      <c r="S2558" s="670" t="s">
        <v>3467</v>
      </c>
      <c r="T2558" s="668" t="s">
        <v>1055</v>
      </c>
    </row>
    <row r="2559" spans="1:20">
      <c r="A2559" s="679">
        <v>7302660</v>
      </c>
      <c r="B2559" s="672"/>
      <c r="C2559" s="672"/>
      <c r="D2559" s="672"/>
      <c r="E2559" s="676" t="s">
        <v>1151</v>
      </c>
      <c r="F2559" s="680" t="s">
        <v>3476</v>
      </c>
      <c r="G2559" s="710">
        <v>730</v>
      </c>
      <c r="H2559" s="682">
        <v>2660</v>
      </c>
      <c r="J2559" s="668" t="str">
        <f t="shared" si="443"/>
        <v>(3) All Other Equipment</v>
      </c>
      <c r="L2559" s="668">
        <v>131</v>
      </c>
      <c r="M2559" s="669">
        <v>122</v>
      </c>
      <c r="N2559" s="668"/>
      <c r="O2559" s="668">
        <v>18</v>
      </c>
      <c r="P2559" s="668" t="str">
        <f>IFERROR(VLOOKUP(F2559, [2]MOE!B:C, 2, FALSE), "No")</f>
        <v>No</v>
      </c>
      <c r="Q2559" s="711"/>
      <c r="S2559" s="670" t="s">
        <v>3467</v>
      </c>
      <c r="T2559" s="668" t="s">
        <v>1057</v>
      </c>
    </row>
    <row r="2560" spans="1:20">
      <c r="A2560" s="679">
        <v>7002660</v>
      </c>
      <c r="B2560" s="672"/>
      <c r="C2560" s="672"/>
      <c r="D2560" s="672"/>
      <c r="E2560" s="676" t="s">
        <v>1153</v>
      </c>
      <c r="F2560" s="680" t="s">
        <v>3477</v>
      </c>
      <c r="G2560" s="710">
        <v>700</v>
      </c>
      <c r="H2560" s="682">
        <v>2660</v>
      </c>
      <c r="J2560" s="668" t="str">
        <f t="shared" si="443"/>
        <v>(4) Other Property</v>
      </c>
      <c r="L2560" s="668">
        <v>132</v>
      </c>
      <c r="M2560" s="669">
        <v>123</v>
      </c>
      <c r="N2560" s="668"/>
      <c r="O2560" s="668">
        <v>18</v>
      </c>
      <c r="P2560" s="668" t="str">
        <f>IFERROR(VLOOKUP(F2560, [2]MOE!B:C, 2, FALSE), "No")</f>
        <v>No</v>
      </c>
      <c r="Q2560" s="711"/>
      <c r="S2560" s="670" t="s">
        <v>3467</v>
      </c>
      <c r="T2560" s="668" t="s">
        <v>1059</v>
      </c>
    </row>
    <row r="2561" spans="1:20">
      <c r="A2561" s="671"/>
      <c r="B2561" s="672"/>
      <c r="C2561" s="672"/>
      <c r="D2561" s="672" t="s">
        <v>853</v>
      </c>
      <c r="E2561" s="676" t="s">
        <v>256</v>
      </c>
      <c r="F2561" s="675"/>
      <c r="G2561" s="672"/>
      <c r="H2561" s="676"/>
      <c r="Q2561" s="711"/>
      <c r="S2561" s="670"/>
    </row>
    <row r="2562" spans="1:20">
      <c r="A2562" s="679">
        <v>8952660</v>
      </c>
      <c r="B2562" s="672"/>
      <c r="C2562" s="672"/>
      <c r="D2562" s="672"/>
      <c r="E2562" s="676" t="s">
        <v>1155</v>
      </c>
      <c r="F2562" s="680" t="s">
        <v>3478</v>
      </c>
      <c r="G2562" s="710">
        <v>895</v>
      </c>
      <c r="H2562" s="682">
        <v>2660</v>
      </c>
      <c r="J2562" s="668" t="str">
        <f t="shared" ref="J2562:J2563" si="444">E2562</f>
        <v>(1) Miscellaneous Non-Public Expenditures</v>
      </c>
      <c r="L2562" s="668">
        <v>139</v>
      </c>
      <c r="M2562" s="669">
        <v>129</v>
      </c>
      <c r="N2562" s="668"/>
      <c r="O2562" s="668">
        <v>18</v>
      </c>
      <c r="P2562" s="668" t="str">
        <f>IFERROR(VLOOKUP(F2562, [2]MOE!B:C, 2, FALSE), "No")</f>
        <v>No</v>
      </c>
      <c r="Q2562" s="711"/>
      <c r="S2562" s="670" t="s">
        <v>3467</v>
      </c>
      <c r="T2562" s="668" t="s">
        <v>1061</v>
      </c>
    </row>
    <row r="2563" spans="1:20">
      <c r="A2563" s="679">
        <v>8002660</v>
      </c>
      <c r="B2563" s="672"/>
      <c r="C2563" s="672"/>
      <c r="D2563" s="672"/>
      <c r="E2563" s="676" t="s">
        <v>1157</v>
      </c>
      <c r="F2563" s="680" t="s">
        <v>3479</v>
      </c>
      <c r="G2563" s="710">
        <v>800</v>
      </c>
      <c r="H2563" s="682">
        <v>2660</v>
      </c>
      <c r="J2563" s="668" t="str">
        <f t="shared" si="444"/>
        <v>(2) Other Miscellaneous Expenditures</v>
      </c>
      <c r="L2563" s="668">
        <v>139</v>
      </c>
      <c r="M2563" s="669">
        <v>129</v>
      </c>
      <c r="N2563" s="668"/>
      <c r="O2563" s="668">
        <v>18</v>
      </c>
      <c r="P2563" s="668" t="str">
        <f>IFERROR(VLOOKUP(F2563, [2]MOE!B:C, 2, FALSE), "No")</f>
        <v>No</v>
      </c>
      <c r="Q2563" s="711"/>
      <c r="S2563" s="670" t="s">
        <v>3467</v>
      </c>
      <c r="T2563" s="668" t="s">
        <v>1063</v>
      </c>
    </row>
    <row r="2564" spans="1:20">
      <c r="A2564" s="671"/>
      <c r="B2564" s="672"/>
      <c r="C2564" s="678">
        <v>81</v>
      </c>
      <c r="D2564" s="925" t="s">
        <v>3480</v>
      </c>
      <c r="E2564" s="926"/>
      <c r="F2564" s="675"/>
      <c r="G2564" s="672"/>
      <c r="H2564" s="676"/>
      <c r="Q2564" s="711"/>
      <c r="S2564" s="670"/>
    </row>
    <row r="2565" spans="1:20">
      <c r="A2565" s="679">
        <v>2102690</v>
      </c>
      <c r="B2565" s="672"/>
      <c r="C2565" s="672"/>
      <c r="D2565" s="672" t="s">
        <v>759</v>
      </c>
      <c r="E2565" s="676" t="s">
        <v>1066</v>
      </c>
      <c r="F2565" s="680" t="s">
        <v>3481</v>
      </c>
      <c r="G2565" s="710">
        <v>210</v>
      </c>
      <c r="H2565" s="682">
        <v>2690</v>
      </c>
      <c r="J2565" s="668" t="str">
        <f t="shared" ref="J2565:J2567" si="445">E2565</f>
        <v>Group Insurance</v>
      </c>
      <c r="L2565" s="668">
        <v>89</v>
      </c>
      <c r="M2565" s="669">
        <v>84</v>
      </c>
      <c r="N2565" s="668"/>
      <c r="O2565" s="668">
        <v>18</v>
      </c>
      <c r="P2565" s="668" t="str">
        <f>IFERROR(VLOOKUP(F2565, [2]MOE!B:C, 2, FALSE), "No")</f>
        <v>No</v>
      </c>
      <c r="Q2565" s="711" t="s">
        <v>3381</v>
      </c>
      <c r="S2565" s="670" t="s">
        <v>3382</v>
      </c>
      <c r="T2565" s="668" t="s">
        <v>1066</v>
      </c>
    </row>
    <row r="2566" spans="1:20">
      <c r="A2566" s="679">
        <v>2202690</v>
      </c>
      <c r="B2566" s="672"/>
      <c r="C2566" s="672"/>
      <c r="D2566" s="672" t="s">
        <v>777</v>
      </c>
      <c r="E2566" s="676" t="s">
        <v>1068</v>
      </c>
      <c r="F2566" s="680" t="s">
        <v>3482</v>
      </c>
      <c r="G2566" s="710">
        <v>220</v>
      </c>
      <c r="H2566" s="682">
        <v>2690</v>
      </c>
      <c r="J2566" s="668" t="str">
        <f t="shared" si="445"/>
        <v>FICA</v>
      </c>
      <c r="L2566" s="668">
        <v>90</v>
      </c>
      <c r="M2566" s="669">
        <v>85</v>
      </c>
      <c r="N2566" s="668"/>
      <c r="O2566" s="668">
        <v>18</v>
      </c>
      <c r="P2566" s="668" t="str">
        <f>IFERROR(VLOOKUP(F2566, [2]MOE!B:C, 2, FALSE), "No")</f>
        <v>No</v>
      </c>
      <c r="Q2566" s="711" t="s">
        <v>3381</v>
      </c>
      <c r="S2566" s="670" t="s">
        <v>3382</v>
      </c>
      <c r="T2566" s="668" t="s">
        <v>1068</v>
      </c>
    </row>
    <row r="2567" spans="1:20">
      <c r="A2567" s="679">
        <v>2252690</v>
      </c>
      <c r="B2567" s="672"/>
      <c r="C2567" s="672"/>
      <c r="D2567" s="672" t="s">
        <v>801</v>
      </c>
      <c r="E2567" s="676" t="s">
        <v>23</v>
      </c>
      <c r="F2567" s="680" t="s">
        <v>3483</v>
      </c>
      <c r="G2567" s="710">
        <v>225</v>
      </c>
      <c r="H2567" s="682">
        <v>2690</v>
      </c>
      <c r="J2567" s="668" t="str">
        <f t="shared" si="445"/>
        <v>Medicare</v>
      </c>
      <c r="L2567" s="668">
        <v>91</v>
      </c>
      <c r="M2567" s="669">
        <v>86</v>
      </c>
      <c r="N2567" s="668"/>
      <c r="O2567" s="668">
        <v>18</v>
      </c>
      <c r="P2567" s="668" t="str">
        <f>IFERROR(VLOOKUP(F2567, [2]MOE!B:C, 2, FALSE), "No")</f>
        <v>No</v>
      </c>
      <c r="Q2567" s="711" t="s">
        <v>3381</v>
      </c>
      <c r="S2567" s="670" t="s">
        <v>3382</v>
      </c>
      <c r="T2567" s="668" t="s">
        <v>23</v>
      </c>
    </row>
    <row r="2568" spans="1:20">
      <c r="A2568" s="671"/>
      <c r="B2568" s="672"/>
      <c r="C2568" s="672"/>
      <c r="D2568" s="672" t="s">
        <v>805</v>
      </c>
      <c r="E2568" s="676" t="s">
        <v>1071</v>
      </c>
      <c r="F2568" s="675"/>
      <c r="G2568" s="672"/>
      <c r="H2568" s="676"/>
      <c r="Q2568" s="711"/>
      <c r="S2568" s="670"/>
    </row>
    <row r="2569" spans="1:20">
      <c r="A2569" s="679">
        <v>2312690</v>
      </c>
      <c r="B2569" s="672"/>
      <c r="C2569" s="672"/>
      <c r="D2569" s="672"/>
      <c r="E2569" s="676" t="s">
        <v>1072</v>
      </c>
      <c r="F2569" s="680" t="s">
        <v>3484</v>
      </c>
      <c r="G2569" s="710">
        <v>231</v>
      </c>
      <c r="H2569" s="682">
        <v>2690</v>
      </c>
      <c r="J2569" s="668" t="str">
        <f t="shared" ref="J2569:J2577" si="446">E2569</f>
        <v>(1) Louisiana Teachers Retirement</v>
      </c>
      <c r="L2569" s="668">
        <v>92</v>
      </c>
      <c r="M2569" s="669">
        <v>87</v>
      </c>
      <c r="N2569" s="668"/>
      <c r="O2569" s="668">
        <v>18</v>
      </c>
      <c r="P2569" s="668" t="str">
        <f>IFERROR(VLOOKUP(F2569, [2]MOE!B:C, 2, FALSE), "No")</f>
        <v>No</v>
      </c>
      <c r="Q2569" s="711" t="s">
        <v>3381</v>
      </c>
      <c r="S2569" s="670" t="s">
        <v>3382</v>
      </c>
      <c r="T2569" s="668" t="s">
        <v>1074</v>
      </c>
    </row>
    <row r="2570" spans="1:20">
      <c r="A2570" s="679">
        <v>2332690</v>
      </c>
      <c r="B2570" s="672"/>
      <c r="C2570" s="672"/>
      <c r="D2570" s="672"/>
      <c r="E2570" s="676" t="s">
        <v>1075</v>
      </c>
      <c r="F2570" s="680" t="s">
        <v>3485</v>
      </c>
      <c r="G2570" s="710">
        <v>233</v>
      </c>
      <c r="H2570" s="682">
        <v>2690</v>
      </c>
      <c r="J2570" s="668" t="str">
        <f t="shared" si="446"/>
        <v>(2) Louisiana School Employees Retirement</v>
      </c>
      <c r="L2570" s="668">
        <v>92</v>
      </c>
      <c r="M2570" s="669">
        <v>87</v>
      </c>
      <c r="N2570" s="668"/>
      <c r="O2570" s="668">
        <v>18</v>
      </c>
      <c r="P2570" s="668" t="str">
        <f>IFERROR(VLOOKUP(F2570, [2]MOE!B:C, 2, FALSE), "No")</f>
        <v>No</v>
      </c>
      <c r="Q2570" s="711" t="s">
        <v>3381</v>
      </c>
      <c r="S2570" s="670" t="s">
        <v>3382</v>
      </c>
      <c r="T2570" s="668" t="s">
        <v>1077</v>
      </c>
    </row>
    <row r="2571" spans="1:20">
      <c r="A2571" s="679">
        <v>2392690</v>
      </c>
      <c r="B2571" s="672"/>
      <c r="C2571" s="672"/>
      <c r="D2571" s="672"/>
      <c r="E2571" s="676" t="s">
        <v>1078</v>
      </c>
      <c r="F2571" s="680" t="s">
        <v>3486</v>
      </c>
      <c r="G2571" s="710">
        <v>239</v>
      </c>
      <c r="H2571" s="682">
        <v>2690</v>
      </c>
      <c r="J2571" s="668" t="str">
        <f t="shared" si="446"/>
        <v>(3) Other Retirement</v>
      </c>
      <c r="L2571" s="668">
        <v>92</v>
      </c>
      <c r="M2571" s="669">
        <v>87</v>
      </c>
      <c r="N2571" s="668"/>
      <c r="O2571" s="668">
        <v>18</v>
      </c>
      <c r="P2571" s="668" t="str">
        <f>IFERROR(VLOOKUP(F2571, [2]MOE!B:C, 2, FALSE), "No")</f>
        <v>No</v>
      </c>
      <c r="Q2571" s="711" t="s">
        <v>3381</v>
      </c>
      <c r="S2571" s="670" t="s">
        <v>3382</v>
      </c>
      <c r="T2571" s="668" t="s">
        <v>1080</v>
      </c>
    </row>
    <row r="2572" spans="1:20">
      <c r="A2572" s="679">
        <v>2502690</v>
      </c>
      <c r="B2572" s="672"/>
      <c r="C2572" s="672"/>
      <c r="D2572" s="672" t="s">
        <v>850</v>
      </c>
      <c r="E2572" s="676" t="s">
        <v>1081</v>
      </c>
      <c r="F2572" s="680" t="s">
        <v>3487</v>
      </c>
      <c r="G2572" s="710">
        <v>250</v>
      </c>
      <c r="H2572" s="682">
        <v>2690</v>
      </c>
      <c r="J2572" s="668" t="str">
        <f t="shared" si="446"/>
        <v>Unemployment Compensation</v>
      </c>
      <c r="L2572" s="668">
        <v>93</v>
      </c>
      <c r="M2572" s="669">
        <v>88</v>
      </c>
      <c r="N2572" s="668"/>
      <c r="O2572" s="668">
        <v>18</v>
      </c>
      <c r="P2572" s="668" t="str">
        <f>IFERROR(VLOOKUP(F2572, [2]MOE!B:C, 2, FALSE), "No")</f>
        <v>No</v>
      </c>
      <c r="Q2572" s="711" t="s">
        <v>3381</v>
      </c>
      <c r="S2572" s="670" t="s">
        <v>3382</v>
      </c>
      <c r="T2572" s="668" t="s">
        <v>1081</v>
      </c>
    </row>
    <row r="2573" spans="1:20">
      <c r="A2573" s="679">
        <v>2602690</v>
      </c>
      <c r="B2573" s="672"/>
      <c r="C2573" s="672"/>
      <c r="D2573" s="672" t="s">
        <v>853</v>
      </c>
      <c r="E2573" s="676" t="s">
        <v>1083</v>
      </c>
      <c r="F2573" s="680" t="s">
        <v>3488</v>
      </c>
      <c r="G2573" s="710">
        <v>260</v>
      </c>
      <c r="H2573" s="682">
        <v>2690</v>
      </c>
      <c r="J2573" s="668" t="str">
        <f t="shared" si="446"/>
        <v>Workmen's Compensation</v>
      </c>
      <c r="L2573" s="668">
        <v>95</v>
      </c>
      <c r="M2573" s="669">
        <v>90</v>
      </c>
      <c r="N2573" s="668"/>
      <c r="O2573" s="668">
        <v>18</v>
      </c>
      <c r="P2573" s="668" t="str">
        <f>IFERROR(VLOOKUP(F2573, [2]MOE!B:C, 2, FALSE), "No")</f>
        <v>No</v>
      </c>
      <c r="Q2573" s="711" t="s">
        <v>3381</v>
      </c>
      <c r="S2573" s="670" t="s">
        <v>3382</v>
      </c>
      <c r="T2573" s="668" t="s">
        <v>1083</v>
      </c>
    </row>
    <row r="2574" spans="1:20">
      <c r="A2574" s="679">
        <v>2702690</v>
      </c>
      <c r="B2574" s="672"/>
      <c r="C2574" s="672"/>
      <c r="D2574" s="672" t="s">
        <v>856</v>
      </c>
      <c r="E2574" s="676" t="s">
        <v>1085</v>
      </c>
      <c r="F2574" s="680" t="s">
        <v>3489</v>
      </c>
      <c r="G2574" s="710">
        <v>270</v>
      </c>
      <c r="H2574" s="682">
        <v>2690</v>
      </c>
      <c r="J2574" s="668" t="str">
        <f t="shared" si="446"/>
        <v>Health Benefits (retirees)</v>
      </c>
      <c r="L2574" s="668">
        <v>94</v>
      </c>
      <c r="M2574" s="669">
        <v>89</v>
      </c>
      <c r="N2574" s="668"/>
      <c r="O2574" s="668">
        <v>18</v>
      </c>
      <c r="P2574" s="668" t="str">
        <f>IFERROR(VLOOKUP(F2574, [2]MOE!B:C, 2, FALSE), "No")</f>
        <v>No</v>
      </c>
      <c r="Q2574" s="711" t="s">
        <v>3381</v>
      </c>
      <c r="S2574" s="670" t="s">
        <v>3382</v>
      </c>
      <c r="T2574" s="668" t="s">
        <v>1085</v>
      </c>
    </row>
    <row r="2575" spans="1:20">
      <c r="A2575" s="679">
        <v>2812690</v>
      </c>
      <c r="B2575" s="672"/>
      <c r="C2575" s="672"/>
      <c r="D2575" s="672" t="s">
        <v>859</v>
      </c>
      <c r="E2575" s="676" t="s">
        <v>1087</v>
      </c>
      <c r="F2575" s="680" t="s">
        <v>3490</v>
      </c>
      <c r="G2575" s="710">
        <v>281</v>
      </c>
      <c r="H2575" s="682">
        <v>2690</v>
      </c>
      <c r="J2575" s="668" t="str">
        <f t="shared" si="446"/>
        <v>Sick Leave Severance Pay</v>
      </c>
      <c r="L2575" s="668">
        <v>95</v>
      </c>
      <c r="M2575" s="669">
        <v>90</v>
      </c>
      <c r="N2575" s="668"/>
      <c r="O2575" s="668">
        <v>18</v>
      </c>
      <c r="P2575" s="668" t="str">
        <f>IFERROR(VLOOKUP(F2575, [2]MOE!B:C, 2, FALSE), "No")</f>
        <v>No</v>
      </c>
      <c r="Q2575" s="711" t="s">
        <v>3381</v>
      </c>
      <c r="S2575" s="670" t="s">
        <v>3382</v>
      </c>
      <c r="T2575" s="668" t="s">
        <v>1087</v>
      </c>
    </row>
    <row r="2576" spans="1:20">
      <c r="A2576" s="679">
        <v>2822690</v>
      </c>
      <c r="B2576" s="672"/>
      <c r="C2576" s="672"/>
      <c r="D2576" s="672" t="s">
        <v>862</v>
      </c>
      <c r="E2576" s="676" t="s">
        <v>1089</v>
      </c>
      <c r="F2576" s="680" t="s">
        <v>3491</v>
      </c>
      <c r="G2576" s="710">
        <v>282</v>
      </c>
      <c r="H2576" s="682">
        <v>2690</v>
      </c>
      <c r="J2576" s="668" t="str">
        <f t="shared" si="446"/>
        <v>Annual Leave Severance Pay</v>
      </c>
      <c r="L2576" s="668">
        <v>95</v>
      </c>
      <c r="M2576" s="669">
        <v>90</v>
      </c>
      <c r="N2576" s="668"/>
      <c r="O2576" s="668">
        <v>18</v>
      </c>
      <c r="P2576" s="668" t="str">
        <f>IFERROR(VLOOKUP(F2576, [2]MOE!B:C, 2, FALSE), "No")</f>
        <v>No</v>
      </c>
      <c r="Q2576" s="711" t="s">
        <v>3381</v>
      </c>
      <c r="S2576" s="670" t="s">
        <v>3382</v>
      </c>
      <c r="T2576" s="668" t="s">
        <v>1089</v>
      </c>
    </row>
    <row r="2577" spans="1:20" ht="16" thickBot="1">
      <c r="A2577" s="679">
        <v>2902690</v>
      </c>
      <c r="B2577" s="716"/>
      <c r="C2577" s="672"/>
      <c r="D2577" s="672" t="s">
        <v>1091</v>
      </c>
      <c r="E2577" s="676" t="s">
        <v>1092</v>
      </c>
      <c r="F2577" s="680" t="s">
        <v>3492</v>
      </c>
      <c r="G2577" s="710">
        <v>290</v>
      </c>
      <c r="H2577" s="682">
        <v>2690</v>
      </c>
      <c r="J2577" s="668" t="str">
        <f t="shared" si="446"/>
        <v>Other Employee Benefits</v>
      </c>
      <c r="L2577" s="668">
        <v>95</v>
      </c>
      <c r="M2577" s="669">
        <v>90</v>
      </c>
      <c r="N2577" s="668"/>
      <c r="O2577" s="668">
        <v>18</v>
      </c>
      <c r="P2577" s="668" t="str">
        <f>IFERROR(VLOOKUP(F2577, [2]MOE!B:C, 2, FALSE), "No")</f>
        <v>No</v>
      </c>
      <c r="Q2577" s="711" t="s">
        <v>3381</v>
      </c>
      <c r="S2577" s="670" t="s">
        <v>3382</v>
      </c>
      <c r="T2577" s="668" t="s">
        <v>1092</v>
      </c>
    </row>
    <row r="2578" spans="1:20" ht="16.5" thickTop="1" thickBot="1">
      <c r="A2578" s="671"/>
      <c r="B2578" s="663"/>
      <c r="C2578" s="929" t="s">
        <v>3493</v>
      </c>
      <c r="D2578" s="930"/>
      <c r="E2578" s="932"/>
      <c r="F2578" s="705" t="s">
        <v>632</v>
      </c>
      <c r="G2578" s="706"/>
      <c r="H2578" s="707"/>
      <c r="Q2578" s="711"/>
      <c r="S2578" s="670"/>
    </row>
    <row r="2579" spans="1:20" ht="16" thickTop="1">
      <c r="A2579" s="671"/>
      <c r="B2579" s="672"/>
      <c r="C2579" s="672"/>
      <c r="D2579" s="672"/>
      <c r="E2579" s="676"/>
      <c r="F2579" s="675"/>
      <c r="G2579" s="672"/>
      <c r="H2579" s="676"/>
      <c r="Q2579" s="711"/>
      <c r="S2579" s="670"/>
    </row>
    <row r="2580" spans="1:20">
      <c r="A2580" s="671"/>
      <c r="B2580" s="677" t="s">
        <v>3494</v>
      </c>
      <c r="C2580" s="921" t="s">
        <v>705</v>
      </c>
      <c r="D2580" s="795"/>
      <c r="E2580" s="926"/>
      <c r="F2580" s="675"/>
      <c r="G2580" s="672"/>
      <c r="H2580" s="676"/>
      <c r="Q2580" s="711"/>
      <c r="S2580" s="670"/>
    </row>
    <row r="2581" spans="1:20">
      <c r="A2581" s="671"/>
      <c r="B2581" s="672"/>
      <c r="C2581" s="678">
        <v>82</v>
      </c>
      <c r="D2581" s="925" t="s">
        <v>3495</v>
      </c>
      <c r="E2581" s="926"/>
      <c r="F2581" s="675"/>
      <c r="G2581" s="672"/>
      <c r="H2581" s="676"/>
      <c r="Q2581" s="711"/>
      <c r="S2581" s="670"/>
    </row>
    <row r="2582" spans="1:20">
      <c r="A2582" s="671"/>
      <c r="B2582" s="672"/>
      <c r="C2582" s="672"/>
      <c r="D2582" s="672" t="s">
        <v>759</v>
      </c>
      <c r="E2582" s="676" t="s">
        <v>244</v>
      </c>
      <c r="F2582" s="675"/>
      <c r="G2582" s="672"/>
      <c r="H2582" s="676"/>
      <c r="Q2582" s="711"/>
      <c r="S2582" s="670"/>
    </row>
    <row r="2583" spans="1:20">
      <c r="A2583" s="679">
        <v>1112710</v>
      </c>
      <c r="B2583" s="672"/>
      <c r="C2583" s="672"/>
      <c r="D2583" s="672"/>
      <c r="E2583" s="676" t="s">
        <v>1845</v>
      </c>
      <c r="F2583" s="680" t="s">
        <v>3496</v>
      </c>
      <c r="G2583" s="710">
        <v>111</v>
      </c>
      <c r="H2583" s="682">
        <v>2710</v>
      </c>
      <c r="J2583" s="668" t="str">
        <f t="shared" ref="J2583:J2586" si="447">E2583</f>
        <v>(1) Supervisors</v>
      </c>
      <c r="L2583" s="668">
        <v>81</v>
      </c>
      <c r="M2583" s="669">
        <v>76</v>
      </c>
      <c r="N2583" s="668"/>
      <c r="O2583" s="668">
        <v>19</v>
      </c>
      <c r="P2583" s="668" t="str">
        <f>IFERROR(VLOOKUP(F2583, [2]MOE!B:C, 2, FALSE), "No")</f>
        <v>No</v>
      </c>
      <c r="Q2583" s="711" t="s">
        <v>1004</v>
      </c>
      <c r="S2583" s="670" t="s">
        <v>3495</v>
      </c>
      <c r="T2583" s="668" t="s">
        <v>1848</v>
      </c>
    </row>
    <row r="2584" spans="1:20">
      <c r="A2584" s="679">
        <v>1142710</v>
      </c>
      <c r="B2584" s="672"/>
      <c r="C2584" s="672"/>
      <c r="D2584" s="672"/>
      <c r="E2584" s="676" t="s">
        <v>3197</v>
      </c>
      <c r="F2584" s="680" t="s">
        <v>3497</v>
      </c>
      <c r="G2584" s="710">
        <v>114</v>
      </c>
      <c r="H2584" s="682">
        <v>2710</v>
      </c>
      <c r="J2584" s="668" t="str">
        <f t="shared" si="447"/>
        <v>(2) Clerical/Secretarial</v>
      </c>
      <c r="L2584" s="668">
        <v>84</v>
      </c>
      <c r="M2584" s="669">
        <v>79</v>
      </c>
      <c r="N2584" s="668"/>
      <c r="O2584" s="668">
        <v>19</v>
      </c>
      <c r="P2584" s="668" t="str">
        <f>IFERROR(VLOOKUP(F2584, [2]MOE!B:C, 2, FALSE), "No")</f>
        <v>No</v>
      </c>
      <c r="Q2584" s="711" t="s">
        <v>1004</v>
      </c>
      <c r="S2584" s="670" t="s">
        <v>3495</v>
      </c>
      <c r="T2584" s="668" t="s">
        <v>1854</v>
      </c>
    </row>
    <row r="2585" spans="1:20">
      <c r="A2585" s="679">
        <v>1002710</v>
      </c>
      <c r="B2585" s="672"/>
      <c r="C2585" s="672"/>
      <c r="D2585" s="672"/>
      <c r="E2585" s="676" t="s">
        <v>3498</v>
      </c>
      <c r="F2585" s="680" t="s">
        <v>3499</v>
      </c>
      <c r="G2585" s="710">
        <v>100</v>
      </c>
      <c r="H2585" s="682">
        <v>2710</v>
      </c>
      <c r="J2585" s="668" t="str">
        <f t="shared" si="447"/>
        <v>(3) Other Salaries - Student Trans. Svcs</v>
      </c>
      <c r="L2585" s="668">
        <v>86</v>
      </c>
      <c r="M2585" s="669">
        <v>81</v>
      </c>
      <c r="N2585" s="668"/>
      <c r="O2585" s="668">
        <v>19</v>
      </c>
      <c r="P2585" s="668" t="str">
        <f>IFERROR(VLOOKUP(F2585, [2]MOE!B:C, 2, FALSE), "No")</f>
        <v>No</v>
      </c>
      <c r="Q2585" s="711" t="s">
        <v>1004</v>
      </c>
      <c r="S2585" s="670" t="s">
        <v>3495</v>
      </c>
      <c r="T2585" s="668" t="s">
        <v>3500</v>
      </c>
    </row>
    <row r="2586" spans="1:20">
      <c r="A2586" s="679">
        <v>3002710</v>
      </c>
      <c r="B2586" s="672"/>
      <c r="C2586" s="672"/>
      <c r="D2586" s="672" t="s">
        <v>777</v>
      </c>
      <c r="E2586" s="676" t="s">
        <v>1113</v>
      </c>
      <c r="F2586" s="680" t="s">
        <v>3501</v>
      </c>
      <c r="G2586" s="710">
        <v>300</v>
      </c>
      <c r="H2586" s="682">
        <v>2710</v>
      </c>
      <c r="J2586" s="668" t="str">
        <f t="shared" si="447"/>
        <v>Purchased Professional and Technical Svcs</v>
      </c>
      <c r="L2586" s="668">
        <v>101</v>
      </c>
      <c r="M2586" s="669">
        <v>96</v>
      </c>
      <c r="N2586" s="668"/>
      <c r="O2586" s="668">
        <v>19</v>
      </c>
      <c r="P2586" s="668" t="str">
        <f>IFERROR(VLOOKUP(F2586, [2]MOE!B:C, 2, FALSE), "No")</f>
        <v>No</v>
      </c>
      <c r="Q2586" s="711"/>
      <c r="S2586" s="670" t="s">
        <v>3495</v>
      </c>
      <c r="T2586" s="668" t="s">
        <v>1113</v>
      </c>
    </row>
    <row r="2587" spans="1:20">
      <c r="A2587" s="671"/>
      <c r="B2587" s="672"/>
      <c r="C2587" s="672"/>
      <c r="D2587" s="672" t="s">
        <v>801</v>
      </c>
      <c r="E2587" s="676" t="s">
        <v>250</v>
      </c>
      <c r="F2587" s="675"/>
      <c r="G2587" s="672"/>
      <c r="H2587" s="676"/>
      <c r="Q2587" s="711"/>
      <c r="S2587" s="670"/>
    </row>
    <row r="2588" spans="1:20">
      <c r="A2588" s="679">
        <v>4302710</v>
      </c>
      <c r="B2588" s="672"/>
      <c r="C2588" s="672"/>
      <c r="D2588" s="672"/>
      <c r="E2588" s="676" t="s">
        <v>1115</v>
      </c>
      <c r="F2588" s="680" t="s">
        <v>3502</v>
      </c>
      <c r="G2588" s="710">
        <v>430</v>
      </c>
      <c r="H2588" s="682">
        <v>2710</v>
      </c>
      <c r="J2588" s="668" t="str">
        <f t="shared" ref="J2588:J2589" si="448">E2588</f>
        <v>(1) Repairs and Maintenance Services</v>
      </c>
      <c r="L2588" s="668">
        <v>107</v>
      </c>
      <c r="M2588" s="669">
        <v>102</v>
      </c>
      <c r="N2588" s="668"/>
      <c r="O2588" s="668">
        <v>19</v>
      </c>
      <c r="P2588" s="668" t="str">
        <f>IFERROR(VLOOKUP(F2588, [2]MOE!B:C, 2, FALSE), "No")</f>
        <v>No</v>
      </c>
      <c r="Q2588" s="711"/>
      <c r="S2588" s="670" t="s">
        <v>3495</v>
      </c>
      <c r="T2588" s="668" t="s">
        <v>1023</v>
      </c>
    </row>
    <row r="2589" spans="1:20">
      <c r="A2589" s="679">
        <v>4002710</v>
      </c>
      <c r="B2589" s="672"/>
      <c r="C2589" s="672"/>
      <c r="D2589" s="672"/>
      <c r="E2589" s="676" t="s">
        <v>3006</v>
      </c>
      <c r="F2589" s="680" t="s">
        <v>3503</v>
      </c>
      <c r="G2589" s="710">
        <v>400</v>
      </c>
      <c r="H2589" s="682">
        <v>2710</v>
      </c>
      <c r="J2589" s="668" t="str">
        <f t="shared" si="448"/>
        <v>(2) Other Purchased Property Services</v>
      </c>
      <c r="L2589" s="668">
        <v>108</v>
      </c>
      <c r="M2589" s="669">
        <v>103</v>
      </c>
      <c r="N2589" s="668"/>
      <c r="O2589" s="668">
        <v>19</v>
      </c>
      <c r="P2589" s="668" t="str">
        <f>IFERROR(VLOOKUP(F2589, [2]MOE!B:C, 2, FALSE), "No")</f>
        <v>No</v>
      </c>
      <c r="Q2589" s="711"/>
      <c r="S2589" s="670" t="s">
        <v>3495</v>
      </c>
      <c r="T2589" s="668" t="s">
        <v>1027</v>
      </c>
    </row>
    <row r="2590" spans="1:20">
      <c r="A2590" s="671"/>
      <c r="B2590" s="672"/>
      <c r="C2590" s="672"/>
      <c r="D2590" s="672" t="s">
        <v>805</v>
      </c>
      <c r="E2590" s="676" t="s">
        <v>252</v>
      </c>
      <c r="F2590" s="675"/>
      <c r="G2590" s="672"/>
      <c r="H2590" s="676"/>
      <c r="Q2590" s="711"/>
      <c r="S2590" s="670"/>
    </row>
    <row r="2591" spans="1:20">
      <c r="A2591" s="671"/>
      <c r="B2591" s="672"/>
      <c r="C2591" s="672"/>
      <c r="D2591" s="672"/>
      <c r="E2591" s="676" t="s">
        <v>3504</v>
      </c>
      <c r="F2591" s="675"/>
      <c r="G2591" s="672"/>
      <c r="H2591" s="676"/>
      <c r="Q2591" s="711"/>
      <c r="S2591" s="670"/>
    </row>
    <row r="2592" spans="1:20">
      <c r="A2592" s="679">
        <v>5112710</v>
      </c>
      <c r="B2592" s="672"/>
      <c r="C2592" s="672"/>
      <c r="D2592" s="672"/>
      <c r="E2592" s="676" t="s">
        <v>3505</v>
      </c>
      <c r="F2592" s="680" t="s">
        <v>3506</v>
      </c>
      <c r="G2592" s="710">
        <v>511</v>
      </c>
      <c r="H2592" s="682">
        <v>2710</v>
      </c>
      <c r="J2592" s="668" t="str">
        <f t="shared" ref="J2592:J2595" si="449">E2592</f>
        <v>(a) From Other LEA - Within State</v>
      </c>
      <c r="L2592" s="668">
        <v>111</v>
      </c>
      <c r="M2592" s="669">
        <v>106</v>
      </c>
      <c r="N2592" s="668"/>
      <c r="O2592" s="668">
        <v>19</v>
      </c>
      <c r="P2592" s="668" t="str">
        <f>IFERROR(VLOOKUP(F2592, [2]MOE!B:C, 2, FALSE), "No")</f>
        <v>No</v>
      </c>
      <c r="Q2592" s="711"/>
      <c r="S2592" s="670" t="s">
        <v>3495</v>
      </c>
      <c r="T2592" s="668" t="s">
        <v>3507</v>
      </c>
    </row>
    <row r="2593" spans="1:20">
      <c r="A2593" s="679">
        <v>5122710</v>
      </c>
      <c r="B2593" s="672"/>
      <c r="C2593" s="672"/>
      <c r="D2593" s="672"/>
      <c r="E2593" s="676" t="s">
        <v>3508</v>
      </c>
      <c r="F2593" s="680" t="s">
        <v>3509</v>
      </c>
      <c r="G2593" s="710">
        <v>512</v>
      </c>
      <c r="H2593" s="682">
        <v>2710</v>
      </c>
      <c r="J2593" s="668" t="str">
        <f t="shared" si="449"/>
        <v>(b) From Other LEA - Outside State</v>
      </c>
      <c r="L2593" s="668">
        <v>111</v>
      </c>
      <c r="M2593" s="669">
        <v>106</v>
      </c>
      <c r="N2593" s="668"/>
      <c r="O2593" s="668">
        <v>19</v>
      </c>
      <c r="P2593" s="668" t="str">
        <f>IFERROR(VLOOKUP(F2593, [2]MOE!B:C, 2, FALSE), "No")</f>
        <v>No</v>
      </c>
      <c r="Q2593" s="711"/>
      <c r="S2593" s="670" t="s">
        <v>3495</v>
      </c>
      <c r="T2593" s="668" t="s">
        <v>3510</v>
      </c>
    </row>
    <row r="2594" spans="1:20">
      <c r="A2594" s="679">
        <v>5822710</v>
      </c>
      <c r="B2594" s="672"/>
      <c r="C2594" s="672"/>
      <c r="D2594" s="672"/>
      <c r="E2594" s="676" t="s">
        <v>1135</v>
      </c>
      <c r="F2594" s="680" t="s">
        <v>3511</v>
      </c>
      <c r="G2594" s="710">
        <v>582</v>
      </c>
      <c r="H2594" s="682">
        <v>2710</v>
      </c>
      <c r="J2594" s="668" t="str">
        <f t="shared" si="449"/>
        <v>(2) Travel Expense Reimbursement</v>
      </c>
      <c r="L2594" s="668">
        <v>118</v>
      </c>
      <c r="M2594" s="669">
        <v>109</v>
      </c>
      <c r="N2594" s="668"/>
      <c r="O2594" s="668">
        <v>19</v>
      </c>
      <c r="P2594" s="668" t="str">
        <f>IFERROR(VLOOKUP(F2594, [2]MOE!B:C, 2, FALSE), "No")</f>
        <v>No</v>
      </c>
      <c r="Q2594" s="711"/>
      <c r="S2594" s="670" t="s">
        <v>3495</v>
      </c>
      <c r="T2594" s="668" t="s">
        <v>1039</v>
      </c>
    </row>
    <row r="2595" spans="1:20">
      <c r="A2595" s="679">
        <v>5002710</v>
      </c>
      <c r="B2595" s="672"/>
      <c r="C2595" s="672"/>
      <c r="D2595" s="672"/>
      <c r="E2595" s="676" t="s">
        <v>1137</v>
      </c>
      <c r="F2595" s="680" t="s">
        <v>3512</v>
      </c>
      <c r="G2595" s="710">
        <v>500</v>
      </c>
      <c r="H2595" s="682">
        <v>2710</v>
      </c>
      <c r="J2595" s="668" t="str">
        <f t="shared" si="449"/>
        <v>(3) Other Purchased Services</v>
      </c>
      <c r="L2595" s="668">
        <v>111</v>
      </c>
      <c r="M2595" s="669">
        <v>106</v>
      </c>
      <c r="N2595" s="668"/>
      <c r="O2595" s="668">
        <v>19</v>
      </c>
      <c r="P2595" s="668" t="str">
        <f>IFERROR(VLOOKUP(F2595, [2]MOE!B:C, 2, FALSE), "No")</f>
        <v>No</v>
      </c>
      <c r="Q2595" s="711"/>
      <c r="S2595" s="670" t="s">
        <v>3495</v>
      </c>
      <c r="T2595" s="668" t="s">
        <v>252</v>
      </c>
    </row>
    <row r="2596" spans="1:20">
      <c r="A2596" s="671"/>
      <c r="B2596" s="672"/>
      <c r="C2596" s="672"/>
      <c r="D2596" s="672" t="s">
        <v>850</v>
      </c>
      <c r="E2596" s="676" t="s">
        <v>254</v>
      </c>
      <c r="F2596" s="675"/>
      <c r="G2596" s="672"/>
      <c r="H2596" s="676"/>
      <c r="Q2596" s="711"/>
      <c r="S2596" s="670"/>
    </row>
    <row r="2597" spans="1:20">
      <c r="A2597" s="679">
        <v>6152710</v>
      </c>
      <c r="B2597" s="672"/>
      <c r="C2597" s="672"/>
      <c r="D2597" s="672"/>
      <c r="E2597" s="676" t="s">
        <v>1139</v>
      </c>
      <c r="F2597" s="680" t="s">
        <v>3513</v>
      </c>
      <c r="G2597" s="710">
        <v>615</v>
      </c>
      <c r="H2597" s="682">
        <v>2710</v>
      </c>
      <c r="J2597" s="668" t="str">
        <f t="shared" ref="J2597:J2599" si="450">E2597</f>
        <v>(1) Technology-Related Supplies</v>
      </c>
      <c r="L2597" s="668">
        <v>126</v>
      </c>
      <c r="M2597" s="669">
        <v>117</v>
      </c>
      <c r="N2597" s="668"/>
      <c r="O2597" s="668">
        <v>19</v>
      </c>
      <c r="P2597" s="668" t="str">
        <f>IFERROR(VLOOKUP(F2597, [2]MOE!B:C, 2, FALSE), "No")</f>
        <v>No</v>
      </c>
      <c r="Q2597" s="711" t="s">
        <v>1045</v>
      </c>
      <c r="S2597" s="670" t="s">
        <v>3495</v>
      </c>
      <c r="T2597" s="668" t="s">
        <v>1043</v>
      </c>
    </row>
    <row r="2598" spans="1:20">
      <c r="A2598" s="679">
        <v>6102710</v>
      </c>
      <c r="B2598" s="672"/>
      <c r="C2598" s="672"/>
      <c r="D2598" s="672"/>
      <c r="E2598" s="676" t="s">
        <v>1141</v>
      </c>
      <c r="F2598" s="680" t="s">
        <v>3514</v>
      </c>
      <c r="G2598" s="710">
        <v>610</v>
      </c>
      <c r="H2598" s="682">
        <v>2710</v>
      </c>
      <c r="J2598" s="668" t="str">
        <f t="shared" si="450"/>
        <v>(2) Materials and Supplies</v>
      </c>
      <c r="L2598" s="668">
        <v>122</v>
      </c>
      <c r="M2598" s="669">
        <v>113</v>
      </c>
      <c r="N2598" s="668"/>
      <c r="O2598" s="668">
        <v>19</v>
      </c>
      <c r="P2598" s="668" t="str">
        <f>IFERROR(VLOOKUP(F2598, [2]MOE!B:C, 2, FALSE), "No")</f>
        <v>No</v>
      </c>
      <c r="Q2598" s="711" t="s">
        <v>1045</v>
      </c>
      <c r="S2598" s="670" t="s">
        <v>3495</v>
      </c>
      <c r="T2598" s="668" t="s">
        <v>39</v>
      </c>
    </row>
    <row r="2599" spans="1:20">
      <c r="A2599" s="679">
        <v>6002710</v>
      </c>
      <c r="B2599" s="672"/>
      <c r="C2599" s="672"/>
      <c r="D2599" s="672"/>
      <c r="E2599" s="676" t="s">
        <v>1870</v>
      </c>
      <c r="F2599" s="680" t="s">
        <v>3515</v>
      </c>
      <c r="G2599" s="710">
        <v>600</v>
      </c>
      <c r="H2599" s="682">
        <v>2710</v>
      </c>
      <c r="J2599" s="668" t="str">
        <f t="shared" si="450"/>
        <v>(3) Other Supplies</v>
      </c>
      <c r="L2599" s="668">
        <v>126</v>
      </c>
      <c r="M2599" s="669">
        <v>117</v>
      </c>
      <c r="N2599" s="668"/>
      <c r="O2599" s="668">
        <v>19</v>
      </c>
      <c r="P2599" s="668" t="str">
        <f>IFERROR(VLOOKUP(F2599, [2]MOE!B:C, 2, FALSE), "No")</f>
        <v>No</v>
      </c>
      <c r="Q2599" s="711"/>
      <c r="S2599" s="670" t="s">
        <v>3495</v>
      </c>
      <c r="T2599" s="668" t="s">
        <v>1050</v>
      </c>
    </row>
    <row r="2600" spans="1:20">
      <c r="A2600" s="671"/>
      <c r="B2600" s="672"/>
      <c r="C2600" s="672"/>
      <c r="D2600" s="672" t="s">
        <v>853</v>
      </c>
      <c r="E2600" s="676" t="s">
        <v>1052</v>
      </c>
      <c r="F2600" s="675"/>
      <c r="G2600" s="672"/>
      <c r="H2600" s="676"/>
      <c r="Q2600" s="711"/>
      <c r="S2600" s="670"/>
    </row>
    <row r="2601" spans="1:20">
      <c r="A2601" s="679">
        <v>7342710</v>
      </c>
      <c r="B2601" s="672"/>
      <c r="C2601" s="672"/>
      <c r="D2601" s="672"/>
      <c r="E2601" s="676" t="s">
        <v>1147</v>
      </c>
      <c r="F2601" s="680" t="s">
        <v>3516</v>
      </c>
      <c r="G2601" s="710">
        <v>734</v>
      </c>
      <c r="H2601" s="682">
        <v>2710</v>
      </c>
      <c r="J2601" s="668" t="str">
        <f t="shared" ref="J2601:J2604" si="451">E2601</f>
        <v>(1) Technology-Related Hardware</v>
      </c>
      <c r="L2601" s="668">
        <v>131</v>
      </c>
      <c r="M2601" s="669">
        <v>122</v>
      </c>
      <c r="N2601" s="668"/>
      <c r="O2601" s="668">
        <v>19</v>
      </c>
      <c r="P2601" s="668" t="str">
        <f>IFERROR(VLOOKUP(F2601, [2]MOE!B:C, 2, FALSE), "No")</f>
        <v>No</v>
      </c>
      <c r="Q2601" s="711"/>
      <c r="S2601" s="670" t="s">
        <v>3495</v>
      </c>
      <c r="T2601" s="668" t="s">
        <v>1053</v>
      </c>
    </row>
    <row r="2602" spans="1:20">
      <c r="A2602" s="679">
        <v>7352710</v>
      </c>
      <c r="B2602" s="672"/>
      <c r="C2602" s="672"/>
      <c r="D2602" s="672"/>
      <c r="E2602" s="676" t="s">
        <v>1149</v>
      </c>
      <c r="F2602" s="680" t="s">
        <v>3517</v>
      </c>
      <c r="G2602" s="710">
        <v>735</v>
      </c>
      <c r="H2602" s="682">
        <v>2710</v>
      </c>
      <c r="J2602" s="668" t="str">
        <f t="shared" si="451"/>
        <v>(2) Technology Software</v>
      </c>
      <c r="L2602" s="668">
        <v>131</v>
      </c>
      <c r="M2602" s="669">
        <v>122</v>
      </c>
      <c r="N2602" s="668"/>
      <c r="O2602" s="668">
        <v>19</v>
      </c>
      <c r="P2602" s="668" t="str">
        <f>IFERROR(VLOOKUP(F2602, [2]MOE!B:C, 2, FALSE), "No")</f>
        <v>No</v>
      </c>
      <c r="Q2602" s="711"/>
      <c r="S2602" s="670" t="s">
        <v>3495</v>
      </c>
      <c r="T2602" s="668" t="s">
        <v>1055</v>
      </c>
    </row>
    <row r="2603" spans="1:20">
      <c r="A2603" s="679">
        <v>7302710</v>
      </c>
      <c r="B2603" s="672"/>
      <c r="C2603" s="672"/>
      <c r="D2603" s="672"/>
      <c r="E2603" s="676" t="s">
        <v>3518</v>
      </c>
      <c r="F2603" s="680" t="s">
        <v>3519</v>
      </c>
      <c r="G2603" s="710">
        <v>730</v>
      </c>
      <c r="H2603" s="682">
        <v>2710</v>
      </c>
      <c r="J2603" s="668" t="str">
        <f t="shared" si="451"/>
        <v>(3) All Other Equipment (Inc. Veh/Buses)</v>
      </c>
      <c r="L2603" s="668">
        <v>131</v>
      </c>
      <c r="M2603" s="669">
        <v>122</v>
      </c>
      <c r="N2603" s="668"/>
      <c r="O2603" s="668">
        <v>19</v>
      </c>
      <c r="P2603" s="668" t="str">
        <f>IFERROR(VLOOKUP(F2603, [2]MOE!B:C, 2, FALSE), "No")</f>
        <v>No</v>
      </c>
      <c r="Q2603" s="711"/>
      <c r="S2603" s="670" t="s">
        <v>3495</v>
      </c>
      <c r="T2603" s="668" t="s">
        <v>1057</v>
      </c>
    </row>
    <row r="2604" spans="1:20">
      <c r="A2604" s="679">
        <v>7002710</v>
      </c>
      <c r="B2604" s="672"/>
      <c r="C2604" s="672"/>
      <c r="D2604" s="672"/>
      <c r="E2604" s="676" t="s">
        <v>1153</v>
      </c>
      <c r="F2604" s="680" t="s">
        <v>3520</v>
      </c>
      <c r="G2604" s="710">
        <v>700</v>
      </c>
      <c r="H2604" s="682">
        <v>2710</v>
      </c>
      <c r="J2604" s="668" t="str">
        <f t="shared" si="451"/>
        <v>(4) Other Property</v>
      </c>
      <c r="L2604" s="668">
        <v>132</v>
      </c>
      <c r="M2604" s="669">
        <v>123</v>
      </c>
      <c r="N2604" s="668"/>
      <c r="O2604" s="668">
        <v>19</v>
      </c>
      <c r="P2604" s="668" t="str">
        <f>IFERROR(VLOOKUP(F2604, [2]MOE!B:C, 2, FALSE), "No")</f>
        <v>No</v>
      </c>
      <c r="Q2604" s="711"/>
      <c r="S2604" s="670" t="s">
        <v>3495</v>
      </c>
      <c r="T2604" s="668" t="s">
        <v>1059</v>
      </c>
    </row>
    <row r="2605" spans="1:20">
      <c r="A2605" s="671"/>
      <c r="B2605" s="672"/>
      <c r="C2605" s="672"/>
      <c r="D2605" s="672" t="s">
        <v>856</v>
      </c>
      <c r="E2605" s="676" t="s">
        <v>256</v>
      </c>
      <c r="F2605" s="675"/>
      <c r="G2605" s="672"/>
      <c r="H2605" s="676"/>
      <c r="Q2605" s="711"/>
      <c r="S2605" s="670"/>
    </row>
    <row r="2606" spans="1:20">
      <c r="A2606" s="679">
        <v>8952710</v>
      </c>
      <c r="B2606" s="672"/>
      <c r="C2606" s="672"/>
      <c r="D2606" s="672"/>
      <c r="E2606" s="676" t="s">
        <v>1155</v>
      </c>
      <c r="F2606" s="680" t="s">
        <v>3521</v>
      </c>
      <c r="G2606" s="710">
        <v>895</v>
      </c>
      <c r="H2606" s="682">
        <v>2710</v>
      </c>
      <c r="J2606" s="668" t="str">
        <f t="shared" ref="J2606:J2607" si="452">E2606</f>
        <v>(1) Miscellaneous Non-Public Expenditures</v>
      </c>
      <c r="L2606" s="668">
        <v>139</v>
      </c>
      <c r="M2606" s="669">
        <v>129</v>
      </c>
      <c r="N2606" s="668"/>
      <c r="O2606" s="668">
        <v>19</v>
      </c>
      <c r="P2606" s="668" t="str">
        <f>IFERROR(VLOOKUP(F2606, [2]MOE!B:C, 2, FALSE), "No")</f>
        <v>No</v>
      </c>
      <c r="Q2606" s="711"/>
      <c r="S2606" s="670" t="s">
        <v>3495</v>
      </c>
      <c r="T2606" s="668" t="s">
        <v>1061</v>
      </c>
    </row>
    <row r="2607" spans="1:20">
      <c r="A2607" s="679">
        <v>8002710</v>
      </c>
      <c r="B2607" s="672"/>
      <c r="C2607" s="672"/>
      <c r="D2607" s="672"/>
      <c r="E2607" s="676" t="s">
        <v>1157</v>
      </c>
      <c r="F2607" s="680" t="s">
        <v>3522</v>
      </c>
      <c r="G2607" s="710">
        <v>800</v>
      </c>
      <c r="H2607" s="682">
        <v>2710</v>
      </c>
      <c r="J2607" s="668" t="str">
        <f t="shared" si="452"/>
        <v>(2) Other Miscellaneous Expenditures</v>
      </c>
      <c r="L2607" s="668">
        <v>139</v>
      </c>
      <c r="M2607" s="669">
        <v>129</v>
      </c>
      <c r="N2607" s="668"/>
      <c r="O2607" s="668">
        <v>19</v>
      </c>
      <c r="P2607" s="668" t="str">
        <f>IFERROR(VLOOKUP(F2607, [2]MOE!B:C, 2, FALSE), "No")</f>
        <v>No</v>
      </c>
      <c r="Q2607" s="711"/>
      <c r="S2607" s="670" t="s">
        <v>3495</v>
      </c>
      <c r="T2607" s="668" t="s">
        <v>1063</v>
      </c>
    </row>
    <row r="2608" spans="1:20">
      <c r="A2608" s="671"/>
      <c r="B2608" s="672"/>
      <c r="C2608" s="672"/>
      <c r="D2608" s="672" t="s">
        <v>859</v>
      </c>
      <c r="E2608" s="676" t="s">
        <v>3523</v>
      </c>
      <c r="F2608" s="675"/>
      <c r="G2608" s="672"/>
      <c r="H2608" s="676"/>
      <c r="Q2608" s="711"/>
      <c r="S2608" s="670"/>
    </row>
    <row r="2609" spans="1:20">
      <c r="A2609" s="679">
        <v>2102710</v>
      </c>
      <c r="B2609" s="672"/>
      <c r="C2609" s="672"/>
      <c r="D2609" s="672"/>
      <c r="E2609" s="676" t="s">
        <v>1159</v>
      </c>
      <c r="F2609" s="680" t="s">
        <v>3524</v>
      </c>
      <c r="G2609" s="710">
        <v>210</v>
      </c>
      <c r="H2609" s="682">
        <v>2710</v>
      </c>
      <c r="J2609" s="668" t="str">
        <f t="shared" ref="J2609:J2611" si="453">E2609</f>
        <v>(1) Group Insurance</v>
      </c>
      <c r="L2609" s="668">
        <v>89</v>
      </c>
      <c r="M2609" s="669">
        <v>84</v>
      </c>
      <c r="N2609" s="668"/>
      <c r="O2609" s="668">
        <v>19</v>
      </c>
      <c r="P2609" s="668" t="str">
        <f>IFERROR(VLOOKUP(F2609, [2]MOE!B:C, 2, FALSE), "No")</f>
        <v>No</v>
      </c>
      <c r="Q2609" s="711" t="s">
        <v>1004</v>
      </c>
      <c r="S2609" s="670" t="s">
        <v>3495</v>
      </c>
      <c r="T2609" s="668" t="s">
        <v>1066</v>
      </c>
    </row>
    <row r="2610" spans="1:20">
      <c r="A2610" s="679">
        <v>2202710</v>
      </c>
      <c r="B2610" s="672"/>
      <c r="C2610" s="672"/>
      <c r="D2610" s="672"/>
      <c r="E2610" s="676" t="s">
        <v>1161</v>
      </c>
      <c r="F2610" s="680" t="s">
        <v>3525</v>
      </c>
      <c r="G2610" s="710">
        <v>220</v>
      </c>
      <c r="H2610" s="682">
        <v>2710</v>
      </c>
      <c r="J2610" s="668" t="str">
        <f t="shared" si="453"/>
        <v>(2) FICA</v>
      </c>
      <c r="L2610" s="668">
        <v>90</v>
      </c>
      <c r="M2610" s="669">
        <v>85</v>
      </c>
      <c r="N2610" s="668"/>
      <c r="O2610" s="668">
        <v>19</v>
      </c>
      <c r="P2610" s="668" t="str">
        <f>IFERROR(VLOOKUP(F2610, [2]MOE!B:C, 2, FALSE), "No")</f>
        <v>No</v>
      </c>
      <c r="Q2610" s="711" t="s">
        <v>1004</v>
      </c>
      <c r="S2610" s="670" t="s">
        <v>3495</v>
      </c>
      <c r="T2610" s="668" t="s">
        <v>1068</v>
      </c>
    </row>
    <row r="2611" spans="1:20">
      <c r="A2611" s="679">
        <v>2252710</v>
      </c>
      <c r="B2611" s="672"/>
      <c r="C2611" s="672"/>
      <c r="D2611" s="672"/>
      <c r="E2611" s="676" t="s">
        <v>1163</v>
      </c>
      <c r="F2611" s="680" t="s">
        <v>3526</v>
      </c>
      <c r="G2611" s="710">
        <v>225</v>
      </c>
      <c r="H2611" s="682">
        <v>2710</v>
      </c>
      <c r="J2611" s="668" t="str">
        <f t="shared" si="453"/>
        <v>(3) Medicare</v>
      </c>
      <c r="L2611" s="668">
        <v>91</v>
      </c>
      <c r="M2611" s="669">
        <v>86</v>
      </c>
      <c r="N2611" s="668"/>
      <c r="O2611" s="668">
        <v>19</v>
      </c>
      <c r="P2611" s="668" t="str">
        <f>IFERROR(VLOOKUP(F2611, [2]MOE!B:C, 2, FALSE), "No")</f>
        <v>No</v>
      </c>
      <c r="Q2611" s="711" t="s">
        <v>1004</v>
      </c>
      <c r="S2611" s="670" t="s">
        <v>3495</v>
      </c>
      <c r="T2611" s="668" t="s">
        <v>23</v>
      </c>
    </row>
    <row r="2612" spans="1:20">
      <c r="A2612" s="671"/>
      <c r="B2612" s="672"/>
      <c r="C2612" s="672"/>
      <c r="D2612" s="672"/>
      <c r="E2612" s="676" t="s">
        <v>1165</v>
      </c>
      <c r="F2612" s="675"/>
      <c r="G2612" s="672"/>
      <c r="H2612" s="676"/>
      <c r="Q2612" s="711"/>
      <c r="S2612" s="670"/>
    </row>
    <row r="2613" spans="1:20">
      <c r="A2613" s="679">
        <v>2312710</v>
      </c>
      <c r="B2613" s="672"/>
      <c r="C2613" s="672"/>
      <c r="D2613" s="672"/>
      <c r="E2613" s="676" t="s">
        <v>1166</v>
      </c>
      <c r="F2613" s="680" t="s">
        <v>3527</v>
      </c>
      <c r="G2613" s="710">
        <v>231</v>
      </c>
      <c r="H2613" s="682">
        <v>2710</v>
      </c>
      <c r="J2613" s="668" t="str">
        <f t="shared" ref="J2613:J2621" si="454">E2613</f>
        <v>(a) Louisiana Teachers Retirement</v>
      </c>
      <c r="L2613" s="668">
        <v>92</v>
      </c>
      <c r="M2613" s="669">
        <v>87</v>
      </c>
      <c r="N2613" s="668"/>
      <c r="O2613" s="668">
        <v>19</v>
      </c>
      <c r="P2613" s="668" t="str">
        <f>IFERROR(VLOOKUP(F2613, [2]MOE!B:C, 2, FALSE), "No")</f>
        <v>No</v>
      </c>
      <c r="Q2613" s="711" t="s">
        <v>1004</v>
      </c>
      <c r="S2613" s="670" t="s">
        <v>3495</v>
      </c>
      <c r="T2613" s="668" t="s">
        <v>1074</v>
      </c>
    </row>
    <row r="2614" spans="1:20">
      <c r="A2614" s="679">
        <v>2332710</v>
      </c>
      <c r="B2614" s="672"/>
      <c r="C2614" s="672"/>
      <c r="D2614" s="672"/>
      <c r="E2614" s="676" t="s">
        <v>1168</v>
      </c>
      <c r="F2614" s="680" t="s">
        <v>3528</v>
      </c>
      <c r="G2614" s="710">
        <v>233</v>
      </c>
      <c r="H2614" s="682">
        <v>2710</v>
      </c>
      <c r="J2614" s="668" t="str">
        <f t="shared" si="454"/>
        <v>(b) Louisiana School Emp. Retirement</v>
      </c>
      <c r="L2614" s="668">
        <v>92</v>
      </c>
      <c r="M2614" s="669">
        <v>87</v>
      </c>
      <c r="N2614" s="668"/>
      <c r="O2614" s="668">
        <v>19</v>
      </c>
      <c r="P2614" s="668" t="str">
        <f>IFERROR(VLOOKUP(F2614, [2]MOE!B:C, 2, FALSE), "No")</f>
        <v>No</v>
      </c>
      <c r="Q2614" s="711" t="s">
        <v>1004</v>
      </c>
      <c r="S2614" s="670" t="s">
        <v>3495</v>
      </c>
      <c r="T2614" s="668" t="s">
        <v>1170</v>
      </c>
    </row>
    <row r="2615" spans="1:20">
      <c r="A2615" s="679">
        <v>2392710</v>
      </c>
      <c r="B2615" s="672"/>
      <c r="C2615" s="672"/>
      <c r="D2615" s="672"/>
      <c r="E2615" s="676" t="s">
        <v>1171</v>
      </c>
      <c r="F2615" s="680" t="s">
        <v>3529</v>
      </c>
      <c r="G2615" s="710">
        <v>239</v>
      </c>
      <c r="H2615" s="682">
        <v>2710</v>
      </c>
      <c r="J2615" s="668" t="str">
        <f t="shared" si="454"/>
        <v>(c) Other Retirement</v>
      </c>
      <c r="L2615" s="668">
        <v>92</v>
      </c>
      <c r="M2615" s="669">
        <v>87</v>
      </c>
      <c r="N2615" s="668"/>
      <c r="O2615" s="668">
        <v>19</v>
      </c>
      <c r="P2615" s="668" t="str">
        <f>IFERROR(VLOOKUP(F2615, [2]MOE!B:C, 2, FALSE), "No")</f>
        <v>No</v>
      </c>
      <c r="Q2615" s="711" t="s">
        <v>1004</v>
      </c>
      <c r="S2615" s="670" t="s">
        <v>3495</v>
      </c>
      <c r="T2615" s="668" t="s">
        <v>1080</v>
      </c>
    </row>
    <row r="2616" spans="1:20">
      <c r="A2616" s="679">
        <v>2502710</v>
      </c>
      <c r="B2616" s="672"/>
      <c r="C2616" s="672"/>
      <c r="D2616" s="672"/>
      <c r="E2616" s="676" t="s">
        <v>1173</v>
      </c>
      <c r="F2616" s="680" t="s">
        <v>3530</v>
      </c>
      <c r="G2616" s="710">
        <v>250</v>
      </c>
      <c r="H2616" s="682">
        <v>2710</v>
      </c>
      <c r="J2616" s="668" t="str">
        <f t="shared" si="454"/>
        <v>(5) Unemployment Compensation</v>
      </c>
      <c r="L2616" s="668">
        <v>93</v>
      </c>
      <c r="M2616" s="669">
        <v>88</v>
      </c>
      <c r="N2616" s="668"/>
      <c r="O2616" s="668">
        <v>19</v>
      </c>
      <c r="P2616" s="668" t="str">
        <f>IFERROR(VLOOKUP(F2616, [2]MOE!B:C, 2, FALSE), "No")</f>
        <v>No</v>
      </c>
      <c r="Q2616" s="711" t="s">
        <v>1004</v>
      </c>
      <c r="S2616" s="670" t="s">
        <v>3495</v>
      </c>
      <c r="T2616" s="668" t="s">
        <v>1081</v>
      </c>
    </row>
    <row r="2617" spans="1:20">
      <c r="A2617" s="679">
        <v>2602710</v>
      </c>
      <c r="B2617" s="672"/>
      <c r="C2617" s="672"/>
      <c r="D2617" s="672"/>
      <c r="E2617" s="676" t="s">
        <v>1175</v>
      </c>
      <c r="F2617" s="680" t="s">
        <v>3531</v>
      </c>
      <c r="G2617" s="710">
        <v>260</v>
      </c>
      <c r="H2617" s="682">
        <v>2710</v>
      </c>
      <c r="J2617" s="668" t="str">
        <f t="shared" si="454"/>
        <v>(6) Workmen's Compensation</v>
      </c>
      <c r="L2617" s="668">
        <v>95</v>
      </c>
      <c r="M2617" s="669">
        <v>90</v>
      </c>
      <c r="N2617" s="668"/>
      <c r="O2617" s="668">
        <v>19</v>
      </c>
      <c r="P2617" s="668" t="str">
        <f>IFERROR(VLOOKUP(F2617, [2]MOE!B:C, 2, FALSE), "No")</f>
        <v>No</v>
      </c>
      <c r="Q2617" s="711" t="s">
        <v>1004</v>
      </c>
      <c r="S2617" s="670" t="s">
        <v>3495</v>
      </c>
      <c r="T2617" s="668" t="s">
        <v>1083</v>
      </c>
    </row>
    <row r="2618" spans="1:20">
      <c r="A2618" s="679">
        <v>2702710</v>
      </c>
      <c r="B2618" s="672"/>
      <c r="C2618" s="672"/>
      <c r="D2618" s="672"/>
      <c r="E2618" s="676" t="s">
        <v>1177</v>
      </c>
      <c r="F2618" s="680" t="s">
        <v>3532</v>
      </c>
      <c r="G2618" s="710">
        <v>270</v>
      </c>
      <c r="H2618" s="682">
        <v>2710</v>
      </c>
      <c r="J2618" s="668" t="str">
        <f t="shared" si="454"/>
        <v>(7) Health Benefits (retirees)</v>
      </c>
      <c r="L2618" s="668">
        <v>94</v>
      </c>
      <c r="M2618" s="669">
        <v>89</v>
      </c>
      <c r="N2618" s="668"/>
      <c r="O2618" s="668">
        <v>19</v>
      </c>
      <c r="P2618" s="668" t="str">
        <f>IFERROR(VLOOKUP(F2618, [2]MOE!B:C, 2, FALSE), "No")</f>
        <v>No</v>
      </c>
      <c r="Q2618" s="711" t="s">
        <v>1004</v>
      </c>
      <c r="S2618" s="670" t="s">
        <v>3495</v>
      </c>
      <c r="T2618" s="668" t="s">
        <v>1085</v>
      </c>
    </row>
    <row r="2619" spans="1:20">
      <c r="A2619" s="679">
        <v>2812710</v>
      </c>
      <c r="B2619" s="672"/>
      <c r="C2619" s="672"/>
      <c r="D2619" s="672"/>
      <c r="E2619" s="676" t="s">
        <v>1179</v>
      </c>
      <c r="F2619" s="680" t="s">
        <v>3533</v>
      </c>
      <c r="G2619" s="710">
        <v>281</v>
      </c>
      <c r="H2619" s="682">
        <v>2710</v>
      </c>
      <c r="J2619" s="668" t="str">
        <f t="shared" si="454"/>
        <v>(8) Sick Leave Severance Pay</v>
      </c>
      <c r="L2619" s="668">
        <v>95</v>
      </c>
      <c r="M2619" s="669">
        <v>90</v>
      </c>
      <c r="N2619" s="668"/>
      <c r="O2619" s="668">
        <v>19</v>
      </c>
      <c r="P2619" s="668" t="str">
        <f>IFERROR(VLOOKUP(F2619, [2]MOE!B:C, 2, FALSE), "No")</f>
        <v>No</v>
      </c>
      <c r="Q2619" s="711" t="s">
        <v>1004</v>
      </c>
      <c r="S2619" s="670" t="s">
        <v>3495</v>
      </c>
      <c r="T2619" s="668" t="s">
        <v>1087</v>
      </c>
    </row>
    <row r="2620" spans="1:20">
      <c r="A2620" s="679">
        <v>2822710</v>
      </c>
      <c r="B2620" s="672"/>
      <c r="C2620" s="672"/>
      <c r="D2620" s="672"/>
      <c r="E2620" s="676" t="s">
        <v>1181</v>
      </c>
      <c r="F2620" s="680" t="s">
        <v>3534</v>
      </c>
      <c r="G2620" s="710">
        <v>282</v>
      </c>
      <c r="H2620" s="682">
        <v>2710</v>
      </c>
      <c r="J2620" s="668" t="str">
        <f t="shared" si="454"/>
        <v>(9) Annual Leave Severance Pay</v>
      </c>
      <c r="L2620" s="668">
        <v>95</v>
      </c>
      <c r="M2620" s="669">
        <v>90</v>
      </c>
      <c r="N2620" s="668"/>
      <c r="O2620" s="668">
        <v>19</v>
      </c>
      <c r="P2620" s="668" t="str">
        <f>IFERROR(VLOOKUP(F2620, [2]MOE!B:C, 2, FALSE), "No")</f>
        <v>No</v>
      </c>
      <c r="Q2620" s="711" t="s">
        <v>1004</v>
      </c>
      <c r="S2620" s="670" t="s">
        <v>3495</v>
      </c>
      <c r="T2620" s="668" t="s">
        <v>1089</v>
      </c>
    </row>
    <row r="2621" spans="1:20">
      <c r="A2621" s="679">
        <v>2902710</v>
      </c>
      <c r="B2621" s="672"/>
      <c r="C2621" s="672"/>
      <c r="D2621" s="672"/>
      <c r="E2621" s="676" t="s">
        <v>1183</v>
      </c>
      <c r="F2621" s="680" t="s">
        <v>3535</v>
      </c>
      <c r="G2621" s="710">
        <v>290</v>
      </c>
      <c r="H2621" s="682">
        <v>2710</v>
      </c>
      <c r="J2621" s="668" t="str">
        <f t="shared" si="454"/>
        <v>(10) Other Employee Benefits</v>
      </c>
      <c r="L2621" s="668">
        <v>95</v>
      </c>
      <c r="M2621" s="669">
        <v>90</v>
      </c>
      <c r="N2621" s="668"/>
      <c r="O2621" s="668">
        <v>19</v>
      </c>
      <c r="P2621" s="668" t="str">
        <f>IFERROR(VLOOKUP(F2621, [2]MOE!B:C, 2, FALSE), "No")</f>
        <v>No</v>
      </c>
      <c r="Q2621" s="711" t="s">
        <v>1004</v>
      </c>
      <c r="S2621" s="670" t="s">
        <v>3495</v>
      </c>
      <c r="T2621" s="668" t="s">
        <v>1092</v>
      </c>
    </row>
    <row r="2622" spans="1:20">
      <c r="A2622" s="671"/>
      <c r="B2622" s="672"/>
      <c r="C2622" s="678">
        <v>83</v>
      </c>
      <c r="D2622" s="672"/>
      <c r="E2622" s="675" t="s">
        <v>3536</v>
      </c>
      <c r="F2622" s="675"/>
      <c r="G2622" s="672"/>
      <c r="H2622" s="676"/>
      <c r="Q2622" s="711"/>
      <c r="S2622" s="670"/>
    </row>
    <row r="2623" spans="1:20">
      <c r="A2623" s="671"/>
      <c r="B2623" s="672"/>
      <c r="C2623" s="672"/>
      <c r="D2623" s="672" t="s">
        <v>759</v>
      </c>
      <c r="E2623" s="676" t="s">
        <v>244</v>
      </c>
      <c r="F2623" s="675"/>
      <c r="G2623" s="672"/>
      <c r="H2623" s="676"/>
      <c r="Q2623" s="711"/>
      <c r="S2623" s="670"/>
    </row>
    <row r="2624" spans="1:20">
      <c r="A2624" s="679">
        <v>1152720</v>
      </c>
      <c r="B2624" s="672"/>
      <c r="C2624" s="672"/>
      <c r="D2624" s="672"/>
      <c r="E2624" s="676" t="s">
        <v>3537</v>
      </c>
      <c r="F2624" s="680" t="s">
        <v>3538</v>
      </c>
      <c r="G2624" s="710">
        <v>115</v>
      </c>
      <c r="H2624" s="682">
        <v>2720</v>
      </c>
      <c r="J2624" s="668" t="str">
        <f t="shared" ref="J2624:J2629" si="455">E2624</f>
        <v>(1) Aide/Attendant/Monitor</v>
      </c>
      <c r="L2624" s="668">
        <v>86</v>
      </c>
      <c r="M2624" s="669">
        <v>81</v>
      </c>
      <c r="N2624" s="668"/>
      <c r="O2624" s="668">
        <v>19</v>
      </c>
      <c r="P2624" s="668" t="str">
        <f>IFERROR(VLOOKUP(F2624, [2]MOE!B:C, 2, FALSE), "No")</f>
        <v>No</v>
      </c>
      <c r="Q2624" s="711" t="s">
        <v>1004</v>
      </c>
      <c r="S2624" s="670" t="s">
        <v>3536</v>
      </c>
      <c r="T2624" s="668" t="s">
        <v>3539</v>
      </c>
    </row>
    <row r="2625" spans="1:20">
      <c r="A2625" s="679">
        <v>1162720</v>
      </c>
      <c r="B2625" s="672"/>
      <c r="C2625" s="672"/>
      <c r="D2625" s="672"/>
      <c r="E2625" s="676" t="s">
        <v>3540</v>
      </c>
      <c r="F2625" s="680" t="s">
        <v>3541</v>
      </c>
      <c r="G2625" s="710">
        <v>116</v>
      </c>
      <c r="H2625" s="682">
        <v>2720</v>
      </c>
      <c r="J2625" s="668" t="str">
        <f t="shared" si="455"/>
        <v>(2) Bus Driver</v>
      </c>
      <c r="L2625" s="668">
        <v>85</v>
      </c>
      <c r="M2625" s="669">
        <v>80</v>
      </c>
      <c r="N2625" s="668"/>
      <c r="O2625" s="668">
        <v>19</v>
      </c>
      <c r="P2625" s="668" t="str">
        <f>IFERROR(VLOOKUP(F2625, [2]MOE!B:C, 2, FALSE), "No")</f>
        <v>No</v>
      </c>
      <c r="Q2625" s="711" t="s">
        <v>1004</v>
      </c>
      <c r="S2625" s="670" t="s">
        <v>3536</v>
      </c>
      <c r="T2625" s="668" t="s">
        <v>3542</v>
      </c>
    </row>
    <row r="2626" spans="1:20">
      <c r="A2626" s="679">
        <v>1172720</v>
      </c>
      <c r="B2626" s="672"/>
      <c r="C2626" s="672"/>
      <c r="D2626" s="672"/>
      <c r="E2626" s="676" t="s">
        <v>3543</v>
      </c>
      <c r="F2626" s="680" t="s">
        <v>3544</v>
      </c>
      <c r="G2626" s="710">
        <v>117</v>
      </c>
      <c r="H2626" s="682">
        <v>2720</v>
      </c>
      <c r="J2626" s="668" t="str">
        <f t="shared" si="455"/>
        <v>(3) Bus Mechanics</v>
      </c>
      <c r="L2626" s="668">
        <v>86</v>
      </c>
      <c r="M2626" s="669">
        <v>81</v>
      </c>
      <c r="N2626" s="668"/>
      <c r="O2626" s="668">
        <v>19</v>
      </c>
      <c r="P2626" s="668" t="str">
        <f>IFERROR(VLOOKUP(F2626, [2]MOE!B:C, 2, FALSE), "No")</f>
        <v>No</v>
      </c>
      <c r="Q2626" s="711" t="s">
        <v>1004</v>
      </c>
      <c r="S2626" s="670" t="s">
        <v>3536</v>
      </c>
      <c r="T2626" s="668" t="s">
        <v>3545</v>
      </c>
    </row>
    <row r="2627" spans="1:20">
      <c r="A2627" s="679">
        <v>1242720</v>
      </c>
      <c r="B2627" s="672"/>
      <c r="C2627" s="672"/>
      <c r="D2627" s="672"/>
      <c r="E2627" s="676" t="s">
        <v>3546</v>
      </c>
      <c r="F2627" s="680" t="s">
        <v>3547</v>
      </c>
      <c r="G2627" s="710">
        <v>124</v>
      </c>
      <c r="H2627" s="682">
        <v>2720</v>
      </c>
      <c r="J2627" s="668" t="str">
        <f t="shared" si="455"/>
        <v>(4) Substitute Drivers</v>
      </c>
      <c r="L2627" s="668">
        <v>86</v>
      </c>
      <c r="M2627" s="669">
        <v>81</v>
      </c>
      <c r="N2627" s="668"/>
      <c r="O2627" s="668">
        <v>19</v>
      </c>
      <c r="P2627" s="668" t="str">
        <f>IFERROR(VLOOKUP(F2627, [2]MOE!B:C, 2, FALSE), "No")</f>
        <v>No</v>
      </c>
      <c r="Q2627" s="711" t="s">
        <v>1004</v>
      </c>
      <c r="S2627" s="670" t="s">
        <v>3536</v>
      </c>
      <c r="T2627" s="668" t="s">
        <v>3548</v>
      </c>
    </row>
    <row r="2628" spans="1:20">
      <c r="A2628" s="679">
        <v>1002720</v>
      </c>
      <c r="B2628" s="672"/>
      <c r="C2628" s="672"/>
      <c r="D2628" s="672"/>
      <c r="E2628" s="676" t="s">
        <v>3549</v>
      </c>
      <c r="F2628" s="680" t="s">
        <v>3550</v>
      </c>
      <c r="G2628" s="710">
        <v>100</v>
      </c>
      <c r="H2628" s="682">
        <v>2720</v>
      </c>
      <c r="J2628" s="668" t="str">
        <f t="shared" si="455"/>
        <v>(5) Other Salaries - Regular Trans. Svcs</v>
      </c>
      <c r="L2628" s="668">
        <v>86</v>
      </c>
      <c r="M2628" s="669">
        <v>81</v>
      </c>
      <c r="N2628" s="668"/>
      <c r="O2628" s="668">
        <v>19</v>
      </c>
      <c r="P2628" s="668" t="str">
        <f>IFERROR(VLOOKUP(F2628, [2]MOE!B:C, 2, FALSE), "No")</f>
        <v>No</v>
      </c>
      <c r="Q2628" s="711" t="s">
        <v>1004</v>
      </c>
      <c r="S2628" s="670" t="s">
        <v>3536</v>
      </c>
      <c r="T2628" s="668" t="s">
        <v>3551</v>
      </c>
    </row>
    <row r="2629" spans="1:20">
      <c r="A2629" s="679">
        <v>3002720</v>
      </c>
      <c r="B2629" s="672"/>
      <c r="C2629" s="672"/>
      <c r="D2629" s="672" t="s">
        <v>777</v>
      </c>
      <c r="E2629" s="676" t="s">
        <v>1113</v>
      </c>
      <c r="F2629" s="680" t="s">
        <v>3552</v>
      </c>
      <c r="G2629" s="710">
        <v>300</v>
      </c>
      <c r="H2629" s="682">
        <v>2720</v>
      </c>
      <c r="J2629" s="668" t="str">
        <f t="shared" si="455"/>
        <v>Purchased Professional and Technical Svcs</v>
      </c>
      <c r="L2629" s="668">
        <v>101</v>
      </c>
      <c r="M2629" s="669">
        <v>96</v>
      </c>
      <c r="N2629" s="668"/>
      <c r="O2629" s="668">
        <v>19</v>
      </c>
      <c r="P2629" s="668" t="str">
        <f>IFERROR(VLOOKUP(F2629, [2]MOE!B:C, 2, FALSE), "No")</f>
        <v>No</v>
      </c>
      <c r="Q2629" s="711"/>
      <c r="S2629" s="670" t="s">
        <v>3536</v>
      </c>
      <c r="T2629" s="668" t="s">
        <v>1113</v>
      </c>
    </row>
    <row r="2630" spans="1:20">
      <c r="A2630" s="671"/>
      <c r="B2630" s="672"/>
      <c r="C2630" s="672"/>
      <c r="D2630" s="672" t="s">
        <v>801</v>
      </c>
      <c r="E2630" s="676" t="s">
        <v>250</v>
      </c>
      <c r="F2630" s="675"/>
      <c r="G2630" s="672"/>
      <c r="H2630" s="676"/>
      <c r="Q2630" s="711"/>
      <c r="S2630" s="670"/>
    </row>
    <row r="2631" spans="1:20">
      <c r="A2631" s="679">
        <v>4302720</v>
      </c>
      <c r="B2631" s="672"/>
      <c r="C2631" s="672"/>
      <c r="D2631" s="672"/>
      <c r="E2631" s="676" t="s">
        <v>1115</v>
      </c>
      <c r="F2631" s="680" t="s">
        <v>3553</v>
      </c>
      <c r="G2631" s="710">
        <v>430</v>
      </c>
      <c r="H2631" s="682">
        <v>2720</v>
      </c>
      <c r="J2631" s="668" t="str">
        <f t="shared" ref="J2631:J2633" si="456">E2631</f>
        <v>(1) Repairs and Maintenance Services</v>
      </c>
      <c r="L2631" s="668">
        <v>107</v>
      </c>
      <c r="M2631" s="669">
        <v>102</v>
      </c>
      <c r="N2631" s="668"/>
      <c r="O2631" s="668">
        <v>19</v>
      </c>
      <c r="P2631" s="668" t="str">
        <f>IFERROR(VLOOKUP(F2631, [2]MOE!B:C, 2, FALSE), "No")</f>
        <v>No</v>
      </c>
      <c r="Q2631" s="711"/>
      <c r="S2631" s="670" t="s">
        <v>3536</v>
      </c>
      <c r="T2631" s="668" t="s">
        <v>1023</v>
      </c>
    </row>
    <row r="2632" spans="1:20">
      <c r="A2632" s="679">
        <v>4422720</v>
      </c>
      <c r="B2632" s="672"/>
      <c r="C2632" s="672"/>
      <c r="D2632" s="672"/>
      <c r="E2632" s="676" t="s">
        <v>1382</v>
      </c>
      <c r="F2632" s="680" t="s">
        <v>3554</v>
      </c>
      <c r="G2632" s="710">
        <v>442</v>
      </c>
      <c r="H2632" s="682">
        <v>2720</v>
      </c>
      <c r="J2632" s="668" t="str">
        <f t="shared" si="456"/>
        <v>(2) Rental of Equipment and Vehicles</v>
      </c>
      <c r="L2632" s="668">
        <v>106</v>
      </c>
      <c r="M2632" s="669">
        <v>101</v>
      </c>
      <c r="N2632" s="668"/>
      <c r="O2632" s="668">
        <v>19</v>
      </c>
      <c r="P2632" s="668" t="str">
        <f>IFERROR(VLOOKUP(F2632, [2]MOE!B:C, 2, FALSE), "No")</f>
        <v>No</v>
      </c>
      <c r="Q2632" s="711"/>
      <c r="S2632" s="670" t="s">
        <v>3536</v>
      </c>
      <c r="T2632" s="668" t="s">
        <v>1384</v>
      </c>
    </row>
    <row r="2633" spans="1:20">
      <c r="A2633" s="679">
        <v>4002720</v>
      </c>
      <c r="B2633" s="672"/>
      <c r="C2633" s="672"/>
      <c r="D2633" s="672"/>
      <c r="E2633" s="676" t="s">
        <v>1119</v>
      </c>
      <c r="F2633" s="680" t="s">
        <v>3555</v>
      </c>
      <c r="G2633" s="710">
        <v>400</v>
      </c>
      <c r="H2633" s="682">
        <v>2720</v>
      </c>
      <c r="J2633" s="668" t="str">
        <f t="shared" si="456"/>
        <v>(3) Other Purchased Property Services</v>
      </c>
      <c r="L2633" s="668">
        <v>108</v>
      </c>
      <c r="M2633" s="669">
        <v>103</v>
      </c>
      <c r="N2633" s="668"/>
      <c r="O2633" s="668">
        <v>19</v>
      </c>
      <c r="P2633" s="668" t="str">
        <f>IFERROR(VLOOKUP(F2633, [2]MOE!B:C, 2, FALSE), "No")</f>
        <v>No</v>
      </c>
      <c r="Q2633" s="711"/>
      <c r="S2633" s="670" t="s">
        <v>3536</v>
      </c>
      <c r="T2633" s="668" t="s">
        <v>1027</v>
      </c>
    </row>
    <row r="2634" spans="1:20">
      <c r="A2634" s="671"/>
      <c r="B2634" s="672"/>
      <c r="C2634" s="672"/>
      <c r="D2634" s="672" t="s">
        <v>805</v>
      </c>
      <c r="E2634" s="676" t="s">
        <v>252</v>
      </c>
      <c r="F2634" s="675"/>
      <c r="G2634" s="672"/>
      <c r="H2634" s="676"/>
      <c r="Q2634" s="711"/>
      <c r="S2634" s="670"/>
    </row>
    <row r="2635" spans="1:20">
      <c r="A2635" s="679">
        <v>5132720</v>
      </c>
      <c r="B2635" s="672"/>
      <c r="C2635" s="672"/>
      <c r="D2635" s="672"/>
      <c r="E2635" s="676" t="s">
        <v>3556</v>
      </c>
      <c r="F2635" s="680" t="s">
        <v>3557</v>
      </c>
      <c r="G2635" s="710">
        <v>513</v>
      </c>
      <c r="H2635" s="682">
        <v>2720</v>
      </c>
      <c r="J2635" s="668" t="str">
        <f t="shared" ref="J2635:J2638" si="457">E2635</f>
        <v>(1) Payments in Lieu of Transportation</v>
      </c>
      <c r="L2635" s="668">
        <v>111</v>
      </c>
      <c r="M2635" s="669">
        <v>106</v>
      </c>
      <c r="N2635" s="668"/>
      <c r="O2635" s="668">
        <v>19</v>
      </c>
      <c r="P2635" s="668" t="str">
        <f>IFERROR(VLOOKUP(F2635, [2]MOE!B:C, 2, FALSE), "No")</f>
        <v>No</v>
      </c>
      <c r="Q2635" s="711"/>
      <c r="S2635" s="670" t="s">
        <v>3536</v>
      </c>
      <c r="T2635" s="668" t="s">
        <v>3558</v>
      </c>
    </row>
    <row r="2636" spans="1:20">
      <c r="A2636" s="679">
        <v>5232720</v>
      </c>
      <c r="B2636" s="672"/>
      <c r="C2636" s="672"/>
      <c r="D2636" s="672"/>
      <c r="E2636" s="676" t="s">
        <v>3559</v>
      </c>
      <c r="F2636" s="680" t="s">
        <v>3560</v>
      </c>
      <c r="G2636" s="710">
        <v>523</v>
      </c>
      <c r="H2636" s="682">
        <v>2720</v>
      </c>
      <c r="J2636" s="668" t="str">
        <f t="shared" si="457"/>
        <v>(2) Fleet Insurance</v>
      </c>
      <c r="L2636" s="668">
        <v>114</v>
      </c>
      <c r="M2636" s="669">
        <v>107</v>
      </c>
      <c r="N2636" s="668"/>
      <c r="O2636" s="668">
        <v>19</v>
      </c>
      <c r="P2636" s="668" t="str">
        <f>IFERROR(VLOOKUP(F2636, [2]MOE!B:C, 2, FALSE), "No")</f>
        <v>No</v>
      </c>
      <c r="Q2636" s="711"/>
      <c r="S2636" s="670" t="s">
        <v>3536</v>
      </c>
      <c r="T2636" s="668" t="s">
        <v>1388</v>
      </c>
    </row>
    <row r="2637" spans="1:20">
      <c r="A2637" s="679">
        <v>5832720</v>
      </c>
      <c r="B2637" s="672"/>
      <c r="C2637" s="672"/>
      <c r="D2637" s="672"/>
      <c r="E2637" s="676" t="s">
        <v>3561</v>
      </c>
      <c r="F2637" s="680" t="s">
        <v>3562</v>
      </c>
      <c r="G2637" s="710">
        <v>583</v>
      </c>
      <c r="H2637" s="682">
        <v>2720</v>
      </c>
      <c r="J2637" s="668" t="str">
        <f t="shared" si="457"/>
        <v>(3) Operational Allowance</v>
      </c>
      <c r="L2637" s="668">
        <v>118</v>
      </c>
      <c r="M2637" s="669">
        <v>109</v>
      </c>
      <c r="N2637" s="668"/>
      <c r="O2637" s="668">
        <v>19</v>
      </c>
      <c r="P2637" s="668" t="str">
        <f>IFERROR(VLOOKUP(F2637, [2]MOE!B:C, 2, FALSE), "No")</f>
        <v>No</v>
      </c>
      <c r="Q2637" s="711"/>
      <c r="S2637" s="670" t="s">
        <v>3536</v>
      </c>
      <c r="T2637" s="668" t="s">
        <v>3563</v>
      </c>
    </row>
    <row r="2638" spans="1:20">
      <c r="A2638" s="679">
        <v>5002720</v>
      </c>
      <c r="B2638" s="672"/>
      <c r="C2638" s="672"/>
      <c r="D2638" s="672"/>
      <c r="E2638" s="676" t="s">
        <v>1395</v>
      </c>
      <c r="F2638" s="680" t="s">
        <v>3564</v>
      </c>
      <c r="G2638" s="710">
        <v>500</v>
      </c>
      <c r="H2638" s="682">
        <v>2720</v>
      </c>
      <c r="J2638" s="668" t="str">
        <f t="shared" si="457"/>
        <v>(4) Other Purchased Services</v>
      </c>
      <c r="L2638" s="668">
        <v>111</v>
      </c>
      <c r="M2638" s="669">
        <v>106</v>
      </c>
      <c r="N2638" s="668"/>
      <c r="O2638" s="668">
        <v>19</v>
      </c>
      <c r="P2638" s="668" t="str">
        <f>IFERROR(VLOOKUP(F2638, [2]MOE!B:C, 2, FALSE), "No")</f>
        <v>No</v>
      </c>
      <c r="Q2638" s="711"/>
      <c r="S2638" s="670" t="s">
        <v>3536</v>
      </c>
      <c r="T2638" s="668" t="s">
        <v>252</v>
      </c>
    </row>
    <row r="2639" spans="1:20">
      <c r="A2639" s="671"/>
      <c r="B2639" s="672"/>
      <c r="C2639" s="672"/>
      <c r="D2639" s="672" t="s">
        <v>850</v>
      </c>
      <c r="E2639" s="676" t="s">
        <v>254</v>
      </c>
      <c r="F2639" s="675"/>
      <c r="G2639" s="672"/>
      <c r="H2639" s="676"/>
      <c r="Q2639" s="711"/>
      <c r="S2639" s="670"/>
    </row>
    <row r="2640" spans="1:20">
      <c r="A2640" s="679">
        <v>6152720</v>
      </c>
      <c r="B2640" s="672"/>
      <c r="C2640" s="672"/>
      <c r="D2640" s="672"/>
      <c r="E2640" s="676" t="s">
        <v>1139</v>
      </c>
      <c r="F2640" s="680" t="s">
        <v>3565</v>
      </c>
      <c r="G2640" s="710">
        <v>615</v>
      </c>
      <c r="H2640" s="682">
        <v>2720</v>
      </c>
      <c r="J2640" s="668" t="str">
        <f t="shared" ref="J2640:J2643" si="458">E2640</f>
        <v>(1) Technology-Related Supplies</v>
      </c>
      <c r="L2640" s="668">
        <v>126</v>
      </c>
      <c r="M2640" s="669">
        <v>117</v>
      </c>
      <c r="N2640" s="668"/>
      <c r="O2640" s="668">
        <v>19</v>
      </c>
      <c r="P2640" s="668" t="str">
        <f>IFERROR(VLOOKUP(F2640, [2]MOE!B:C, 2, FALSE), "No")</f>
        <v>No</v>
      </c>
      <c r="Q2640" s="711" t="s">
        <v>1045</v>
      </c>
      <c r="S2640" s="670" t="s">
        <v>3536</v>
      </c>
      <c r="T2640" s="668" t="s">
        <v>1043</v>
      </c>
    </row>
    <row r="2641" spans="1:20">
      <c r="A2641" s="679">
        <v>6102720</v>
      </c>
      <c r="B2641" s="672"/>
      <c r="C2641" s="672"/>
      <c r="D2641" s="672"/>
      <c r="E2641" s="676" t="s">
        <v>1141</v>
      </c>
      <c r="F2641" s="680" t="s">
        <v>3566</v>
      </c>
      <c r="G2641" s="710">
        <v>610</v>
      </c>
      <c r="H2641" s="682">
        <v>2720</v>
      </c>
      <c r="J2641" s="668" t="str">
        <f t="shared" si="458"/>
        <v>(2) Materials and Supplies</v>
      </c>
      <c r="L2641" s="668">
        <v>122</v>
      </c>
      <c r="M2641" s="669">
        <v>113</v>
      </c>
      <c r="N2641" s="668"/>
      <c r="O2641" s="668">
        <v>19</v>
      </c>
      <c r="P2641" s="668" t="str">
        <f>IFERROR(VLOOKUP(F2641, [2]MOE!B:C, 2, FALSE), "No")</f>
        <v>No</v>
      </c>
      <c r="Q2641" s="711" t="s">
        <v>1045</v>
      </c>
      <c r="S2641" s="670" t="s">
        <v>3536</v>
      </c>
      <c r="T2641" s="668" t="s">
        <v>39</v>
      </c>
    </row>
    <row r="2642" spans="1:20">
      <c r="A2642" s="679">
        <v>6262720</v>
      </c>
      <c r="B2642" s="672"/>
      <c r="C2642" s="672"/>
      <c r="D2642" s="672"/>
      <c r="E2642" s="676" t="s">
        <v>1399</v>
      </c>
      <c r="F2642" s="680" t="s">
        <v>3567</v>
      </c>
      <c r="G2642" s="710">
        <v>626</v>
      </c>
      <c r="H2642" s="682">
        <v>2720</v>
      </c>
      <c r="J2642" s="668" t="str">
        <f t="shared" si="458"/>
        <v>(3) Fuel</v>
      </c>
      <c r="L2642" s="668">
        <v>123</v>
      </c>
      <c r="M2642" s="669">
        <v>114</v>
      </c>
      <c r="N2642" s="668"/>
      <c r="O2642" s="668">
        <v>19</v>
      </c>
      <c r="P2642" s="668" t="str">
        <f>IFERROR(VLOOKUP(F2642, [2]MOE!B:C, 2, FALSE), "No")</f>
        <v>No</v>
      </c>
      <c r="Q2642" s="711" t="s">
        <v>1045</v>
      </c>
      <c r="S2642" s="670" t="s">
        <v>3536</v>
      </c>
      <c r="T2642" s="668" t="s">
        <v>1401</v>
      </c>
    </row>
    <row r="2643" spans="1:20">
      <c r="A2643" s="679">
        <v>6002720</v>
      </c>
      <c r="B2643" s="672"/>
      <c r="C2643" s="672"/>
      <c r="D2643" s="672"/>
      <c r="E2643" s="676" t="s">
        <v>1145</v>
      </c>
      <c r="F2643" s="680" t="s">
        <v>3568</v>
      </c>
      <c r="G2643" s="710">
        <v>600</v>
      </c>
      <c r="H2643" s="682">
        <v>2720</v>
      </c>
      <c r="J2643" s="668" t="str">
        <f t="shared" si="458"/>
        <v>(4) Other Supplies</v>
      </c>
      <c r="L2643" s="668">
        <v>126</v>
      </c>
      <c r="M2643" s="669">
        <v>117</v>
      </c>
      <c r="N2643" s="668"/>
      <c r="O2643" s="668">
        <v>19</v>
      </c>
      <c r="P2643" s="668" t="str">
        <f>IFERROR(VLOOKUP(F2643, [2]MOE!B:C, 2, FALSE), "No")</f>
        <v>No</v>
      </c>
      <c r="Q2643" s="711"/>
      <c r="S2643" s="670" t="s">
        <v>3536</v>
      </c>
      <c r="T2643" s="668" t="s">
        <v>1050</v>
      </c>
    </row>
    <row r="2644" spans="1:20">
      <c r="A2644" s="671"/>
      <c r="B2644" s="672"/>
      <c r="C2644" s="672"/>
      <c r="D2644" s="672" t="s">
        <v>853</v>
      </c>
      <c r="E2644" s="676" t="s">
        <v>1052</v>
      </c>
      <c r="F2644" s="675"/>
      <c r="G2644" s="672"/>
      <c r="H2644" s="676"/>
      <c r="Q2644" s="711"/>
      <c r="S2644" s="670"/>
    </row>
    <row r="2645" spans="1:20">
      <c r="A2645" s="679">
        <v>7342720</v>
      </c>
      <c r="B2645" s="672"/>
      <c r="C2645" s="672"/>
      <c r="D2645" s="672"/>
      <c r="E2645" s="676" t="s">
        <v>1147</v>
      </c>
      <c r="F2645" s="680" t="s">
        <v>3569</v>
      </c>
      <c r="G2645" s="710">
        <v>734</v>
      </c>
      <c r="H2645" s="682">
        <v>2720</v>
      </c>
      <c r="J2645" s="668" t="str">
        <f t="shared" ref="J2645:J2648" si="459">E2645</f>
        <v>(1) Technology-Related Hardware</v>
      </c>
      <c r="L2645" s="668">
        <v>131</v>
      </c>
      <c r="M2645" s="669">
        <v>122</v>
      </c>
      <c r="N2645" s="668"/>
      <c r="O2645" s="668">
        <v>19</v>
      </c>
      <c r="P2645" s="668" t="str">
        <f>IFERROR(VLOOKUP(F2645, [2]MOE!B:C, 2, FALSE), "No")</f>
        <v>No</v>
      </c>
      <c r="Q2645" s="711"/>
      <c r="S2645" s="670" t="s">
        <v>3536</v>
      </c>
      <c r="T2645" s="668" t="s">
        <v>1053</v>
      </c>
    </row>
    <row r="2646" spans="1:20">
      <c r="A2646" s="679">
        <v>7352720</v>
      </c>
      <c r="B2646" s="672"/>
      <c r="C2646" s="672"/>
      <c r="D2646" s="672"/>
      <c r="E2646" s="676" t="s">
        <v>1149</v>
      </c>
      <c r="F2646" s="680" t="s">
        <v>3570</v>
      </c>
      <c r="G2646" s="710">
        <v>735</v>
      </c>
      <c r="H2646" s="682">
        <v>2720</v>
      </c>
      <c r="J2646" s="668" t="str">
        <f t="shared" si="459"/>
        <v>(2) Technology Software</v>
      </c>
      <c r="L2646" s="668">
        <v>131</v>
      </c>
      <c r="M2646" s="669">
        <v>122</v>
      </c>
      <c r="N2646" s="668"/>
      <c r="O2646" s="668">
        <v>19</v>
      </c>
      <c r="P2646" s="668" t="str">
        <f>IFERROR(VLOOKUP(F2646, [2]MOE!B:C, 2, FALSE), "No")</f>
        <v>No</v>
      </c>
      <c r="Q2646" s="711"/>
      <c r="S2646" s="670" t="s">
        <v>3536</v>
      </c>
      <c r="T2646" s="668" t="s">
        <v>1055</v>
      </c>
    </row>
    <row r="2647" spans="1:20">
      <c r="A2647" s="679">
        <v>7302720</v>
      </c>
      <c r="B2647" s="672"/>
      <c r="C2647" s="672"/>
      <c r="D2647" s="672"/>
      <c r="E2647" s="676" t="s">
        <v>3518</v>
      </c>
      <c r="F2647" s="680" t="s">
        <v>3571</v>
      </c>
      <c r="G2647" s="710">
        <v>730</v>
      </c>
      <c r="H2647" s="682">
        <v>2720</v>
      </c>
      <c r="J2647" s="668" t="str">
        <f t="shared" si="459"/>
        <v>(3) All Other Equipment (Inc. Veh/Buses)</v>
      </c>
      <c r="L2647" s="668">
        <v>131</v>
      </c>
      <c r="M2647" s="669">
        <v>122</v>
      </c>
      <c r="N2647" s="668"/>
      <c r="O2647" s="668">
        <v>19</v>
      </c>
      <c r="P2647" s="668" t="str">
        <f>IFERROR(VLOOKUP(F2647, [2]MOE!B:C, 2, FALSE), "No")</f>
        <v>No</v>
      </c>
      <c r="Q2647" s="711"/>
      <c r="S2647" s="670" t="s">
        <v>3536</v>
      </c>
      <c r="T2647" s="668" t="s">
        <v>1057</v>
      </c>
    </row>
    <row r="2648" spans="1:20">
      <c r="A2648" s="679">
        <v>7002720</v>
      </c>
      <c r="B2648" s="672"/>
      <c r="C2648" s="672"/>
      <c r="D2648" s="672"/>
      <c r="E2648" s="676" t="s">
        <v>1153</v>
      </c>
      <c r="F2648" s="680" t="s">
        <v>3572</v>
      </c>
      <c r="G2648" s="710">
        <v>700</v>
      </c>
      <c r="H2648" s="682">
        <v>2720</v>
      </c>
      <c r="J2648" s="668" t="str">
        <f t="shared" si="459"/>
        <v>(4) Other Property</v>
      </c>
      <c r="L2648" s="668">
        <v>132</v>
      </c>
      <c r="M2648" s="669">
        <v>123</v>
      </c>
      <c r="N2648" s="668"/>
      <c r="O2648" s="668">
        <v>19</v>
      </c>
      <c r="P2648" s="668" t="str">
        <f>IFERROR(VLOOKUP(F2648, [2]MOE!B:C, 2, FALSE), "No")</f>
        <v>No</v>
      </c>
      <c r="Q2648" s="711"/>
      <c r="S2648" s="670" t="s">
        <v>3536</v>
      </c>
      <c r="T2648" s="668" t="s">
        <v>1059</v>
      </c>
    </row>
    <row r="2649" spans="1:20">
      <c r="A2649" s="671"/>
      <c r="B2649" s="672"/>
      <c r="C2649" s="672"/>
      <c r="D2649" s="672" t="s">
        <v>856</v>
      </c>
      <c r="E2649" s="676" t="s">
        <v>256</v>
      </c>
      <c r="F2649" s="675"/>
      <c r="G2649" s="672"/>
      <c r="H2649" s="676"/>
      <c r="Q2649" s="711"/>
      <c r="S2649" s="670"/>
    </row>
    <row r="2650" spans="1:20">
      <c r="A2650" s="679">
        <v>8952720</v>
      </c>
      <c r="B2650" s="672"/>
      <c r="C2650" s="672"/>
      <c r="D2650" s="672"/>
      <c r="E2650" s="676" t="s">
        <v>1155</v>
      </c>
      <c r="F2650" s="680" t="s">
        <v>3573</v>
      </c>
      <c r="G2650" s="710">
        <v>895</v>
      </c>
      <c r="H2650" s="682">
        <v>2720</v>
      </c>
      <c r="J2650" s="668" t="str">
        <f t="shared" ref="J2650:J2651" si="460">E2650</f>
        <v>(1) Miscellaneous Non-Public Expenditures</v>
      </c>
      <c r="L2650" s="668">
        <v>139</v>
      </c>
      <c r="M2650" s="669">
        <v>129</v>
      </c>
      <c r="N2650" s="668"/>
      <c r="O2650" s="668">
        <v>19</v>
      </c>
      <c r="P2650" s="668" t="str">
        <f>IFERROR(VLOOKUP(F2650, [2]MOE!B:C, 2, FALSE), "No")</f>
        <v>No</v>
      </c>
      <c r="Q2650" s="711"/>
      <c r="S2650" s="670" t="s">
        <v>3536</v>
      </c>
      <c r="T2650" s="668" t="s">
        <v>1061</v>
      </c>
    </row>
    <row r="2651" spans="1:20">
      <c r="A2651" s="679">
        <v>8002720</v>
      </c>
      <c r="B2651" s="672"/>
      <c r="C2651" s="672"/>
      <c r="D2651" s="672"/>
      <c r="E2651" s="676" t="s">
        <v>1157</v>
      </c>
      <c r="F2651" s="680" t="s">
        <v>3574</v>
      </c>
      <c r="G2651" s="710">
        <v>800</v>
      </c>
      <c r="H2651" s="682">
        <v>2720</v>
      </c>
      <c r="J2651" s="668" t="str">
        <f t="shared" si="460"/>
        <v>(2) Other Miscellaneous Expenditures</v>
      </c>
      <c r="L2651" s="668">
        <v>139</v>
      </c>
      <c r="M2651" s="669">
        <v>129</v>
      </c>
      <c r="N2651" s="668"/>
      <c r="O2651" s="668">
        <v>19</v>
      </c>
      <c r="P2651" s="668" t="str">
        <f>IFERROR(VLOOKUP(F2651, [2]MOE!B:C, 2, FALSE), "No")</f>
        <v>No</v>
      </c>
      <c r="Q2651" s="711"/>
      <c r="S2651" s="670" t="s">
        <v>3536</v>
      </c>
      <c r="T2651" s="668" t="s">
        <v>1063</v>
      </c>
    </row>
    <row r="2652" spans="1:20">
      <c r="A2652" s="671"/>
      <c r="B2652" s="672"/>
      <c r="C2652" s="672"/>
      <c r="D2652" s="672" t="s">
        <v>859</v>
      </c>
      <c r="E2652" s="676" t="s">
        <v>3575</v>
      </c>
      <c r="F2652" s="675"/>
      <c r="G2652" s="672"/>
      <c r="H2652" s="676"/>
      <c r="Q2652" s="711"/>
      <c r="S2652" s="670"/>
    </row>
    <row r="2653" spans="1:20">
      <c r="A2653" s="679">
        <v>2102720</v>
      </c>
      <c r="B2653" s="672"/>
      <c r="C2653" s="672"/>
      <c r="D2653" s="672"/>
      <c r="E2653" s="676" t="s">
        <v>1159</v>
      </c>
      <c r="F2653" s="680" t="s">
        <v>3576</v>
      </c>
      <c r="G2653" s="710">
        <v>210</v>
      </c>
      <c r="H2653" s="682">
        <v>2720</v>
      </c>
      <c r="J2653" s="668" t="str">
        <f t="shared" ref="J2653:J2655" si="461">E2653</f>
        <v>(1) Group Insurance</v>
      </c>
      <c r="L2653" s="668">
        <v>89</v>
      </c>
      <c r="M2653" s="669">
        <v>84</v>
      </c>
      <c r="N2653" s="668"/>
      <c r="O2653" s="668">
        <v>19</v>
      </c>
      <c r="P2653" s="668" t="str">
        <f>IFERROR(VLOOKUP(F2653, [2]MOE!B:C, 2, FALSE), "No")</f>
        <v>No</v>
      </c>
      <c r="Q2653" s="711" t="s">
        <v>1004</v>
      </c>
      <c r="S2653" s="670" t="s">
        <v>3536</v>
      </c>
      <c r="T2653" s="668" t="s">
        <v>1066</v>
      </c>
    </row>
    <row r="2654" spans="1:20">
      <c r="A2654" s="679">
        <v>2202720</v>
      </c>
      <c r="B2654" s="672"/>
      <c r="C2654" s="672"/>
      <c r="D2654" s="672"/>
      <c r="E2654" s="676" t="s">
        <v>1161</v>
      </c>
      <c r="F2654" s="680" t="s">
        <v>3577</v>
      </c>
      <c r="G2654" s="710">
        <v>220</v>
      </c>
      <c r="H2654" s="682">
        <v>2720</v>
      </c>
      <c r="J2654" s="668" t="str">
        <f t="shared" si="461"/>
        <v>(2) FICA</v>
      </c>
      <c r="L2654" s="668">
        <v>90</v>
      </c>
      <c r="M2654" s="669">
        <v>85</v>
      </c>
      <c r="N2654" s="668"/>
      <c r="O2654" s="668">
        <v>19</v>
      </c>
      <c r="P2654" s="668" t="str">
        <f>IFERROR(VLOOKUP(F2654, [2]MOE!B:C, 2, FALSE), "No")</f>
        <v>No</v>
      </c>
      <c r="Q2654" s="711" t="s">
        <v>1004</v>
      </c>
      <c r="S2654" s="670" t="s">
        <v>3536</v>
      </c>
      <c r="T2654" s="668" t="s">
        <v>1068</v>
      </c>
    </row>
    <row r="2655" spans="1:20">
      <c r="A2655" s="679">
        <v>2252720</v>
      </c>
      <c r="B2655" s="672"/>
      <c r="C2655" s="672"/>
      <c r="D2655" s="672"/>
      <c r="E2655" s="676" t="s">
        <v>1163</v>
      </c>
      <c r="F2655" s="680" t="s">
        <v>3578</v>
      </c>
      <c r="G2655" s="710">
        <v>225</v>
      </c>
      <c r="H2655" s="682">
        <v>2720</v>
      </c>
      <c r="J2655" s="668" t="str">
        <f t="shared" si="461"/>
        <v>(3) Medicare</v>
      </c>
      <c r="L2655" s="668">
        <v>91</v>
      </c>
      <c r="M2655" s="669">
        <v>86</v>
      </c>
      <c r="N2655" s="668"/>
      <c r="O2655" s="668">
        <v>19</v>
      </c>
      <c r="P2655" s="668" t="str">
        <f>IFERROR(VLOOKUP(F2655, [2]MOE!B:C, 2, FALSE), "No")</f>
        <v>No</v>
      </c>
      <c r="Q2655" s="711" t="s">
        <v>1004</v>
      </c>
      <c r="S2655" s="670" t="s">
        <v>3536</v>
      </c>
      <c r="T2655" s="668" t="s">
        <v>23</v>
      </c>
    </row>
    <row r="2656" spans="1:20">
      <c r="A2656" s="671"/>
      <c r="B2656" s="672"/>
      <c r="C2656" s="672"/>
      <c r="D2656" s="672"/>
      <c r="E2656" s="676" t="s">
        <v>1165</v>
      </c>
      <c r="F2656" s="675"/>
      <c r="G2656" s="672"/>
      <c r="H2656" s="676"/>
      <c r="Q2656" s="711"/>
      <c r="S2656" s="670"/>
    </row>
    <row r="2657" spans="1:20">
      <c r="A2657" s="679">
        <v>2312720</v>
      </c>
      <c r="B2657" s="672"/>
      <c r="C2657" s="672"/>
      <c r="D2657" s="672"/>
      <c r="E2657" s="676" t="s">
        <v>1166</v>
      </c>
      <c r="F2657" s="680" t="s">
        <v>3579</v>
      </c>
      <c r="G2657" s="710">
        <v>231</v>
      </c>
      <c r="H2657" s="682">
        <v>2720</v>
      </c>
      <c r="J2657" s="668" t="str">
        <f t="shared" ref="J2657:J2665" si="462">E2657</f>
        <v>(a) Louisiana Teachers Retirement</v>
      </c>
      <c r="L2657" s="668">
        <v>92</v>
      </c>
      <c r="M2657" s="669">
        <v>87</v>
      </c>
      <c r="N2657" s="668"/>
      <c r="O2657" s="668">
        <v>19</v>
      </c>
      <c r="P2657" s="668" t="str">
        <f>IFERROR(VLOOKUP(F2657, [2]MOE!B:C, 2, FALSE), "No")</f>
        <v>No</v>
      </c>
      <c r="Q2657" s="711" t="s">
        <v>1004</v>
      </c>
      <c r="S2657" s="670" t="s">
        <v>3536</v>
      </c>
      <c r="T2657" s="668" t="s">
        <v>1074</v>
      </c>
    </row>
    <row r="2658" spans="1:20">
      <c r="A2658" s="679">
        <v>2332720</v>
      </c>
      <c r="B2658" s="672"/>
      <c r="C2658" s="672"/>
      <c r="D2658" s="672"/>
      <c r="E2658" s="676" t="s">
        <v>1168</v>
      </c>
      <c r="F2658" s="680" t="s">
        <v>3580</v>
      </c>
      <c r="G2658" s="710">
        <v>233</v>
      </c>
      <c r="H2658" s="682">
        <v>2720</v>
      </c>
      <c r="J2658" s="668" t="str">
        <f t="shared" si="462"/>
        <v>(b) Louisiana School Emp. Retirement</v>
      </c>
      <c r="L2658" s="668">
        <v>92</v>
      </c>
      <c r="M2658" s="669">
        <v>87</v>
      </c>
      <c r="N2658" s="668"/>
      <c r="O2658" s="668">
        <v>19</v>
      </c>
      <c r="P2658" s="668" t="str">
        <f>IFERROR(VLOOKUP(F2658, [2]MOE!B:C, 2, FALSE), "No")</f>
        <v>No</v>
      </c>
      <c r="Q2658" s="711" t="s">
        <v>1004</v>
      </c>
      <c r="S2658" s="670" t="s">
        <v>3536</v>
      </c>
      <c r="T2658" s="668" t="s">
        <v>1170</v>
      </c>
    </row>
    <row r="2659" spans="1:20">
      <c r="A2659" s="679">
        <v>2392720</v>
      </c>
      <c r="B2659" s="672"/>
      <c r="C2659" s="672"/>
      <c r="D2659" s="672"/>
      <c r="E2659" s="676" t="s">
        <v>1171</v>
      </c>
      <c r="F2659" s="680" t="s">
        <v>3581</v>
      </c>
      <c r="G2659" s="710">
        <v>239</v>
      </c>
      <c r="H2659" s="682">
        <v>2720</v>
      </c>
      <c r="J2659" s="668" t="str">
        <f t="shared" si="462"/>
        <v>(c) Other Retirement</v>
      </c>
      <c r="L2659" s="668">
        <v>92</v>
      </c>
      <c r="M2659" s="669">
        <v>87</v>
      </c>
      <c r="N2659" s="668"/>
      <c r="O2659" s="668">
        <v>19</v>
      </c>
      <c r="P2659" s="668" t="str">
        <f>IFERROR(VLOOKUP(F2659, [2]MOE!B:C, 2, FALSE), "No")</f>
        <v>No</v>
      </c>
      <c r="Q2659" s="711" t="s">
        <v>1004</v>
      </c>
      <c r="S2659" s="670" t="s">
        <v>3536</v>
      </c>
      <c r="T2659" s="668" t="s">
        <v>1080</v>
      </c>
    </row>
    <row r="2660" spans="1:20">
      <c r="A2660" s="679">
        <v>2502720</v>
      </c>
      <c r="B2660" s="672"/>
      <c r="C2660" s="672"/>
      <c r="D2660" s="672"/>
      <c r="E2660" s="676" t="s">
        <v>1173</v>
      </c>
      <c r="F2660" s="680" t="s">
        <v>3582</v>
      </c>
      <c r="G2660" s="710">
        <v>250</v>
      </c>
      <c r="H2660" s="682">
        <v>2720</v>
      </c>
      <c r="J2660" s="668" t="str">
        <f t="shared" si="462"/>
        <v>(5) Unemployment Compensation</v>
      </c>
      <c r="L2660" s="668">
        <v>93</v>
      </c>
      <c r="M2660" s="669">
        <v>88</v>
      </c>
      <c r="N2660" s="668"/>
      <c r="O2660" s="668">
        <v>19</v>
      </c>
      <c r="P2660" s="668" t="str">
        <f>IFERROR(VLOOKUP(F2660, [2]MOE!B:C, 2, FALSE), "No")</f>
        <v>No</v>
      </c>
      <c r="Q2660" s="711" t="s">
        <v>1004</v>
      </c>
      <c r="S2660" s="670" t="s">
        <v>3536</v>
      </c>
      <c r="T2660" s="668" t="s">
        <v>1081</v>
      </c>
    </row>
    <row r="2661" spans="1:20">
      <c r="A2661" s="679">
        <v>2602720</v>
      </c>
      <c r="B2661" s="672"/>
      <c r="C2661" s="672"/>
      <c r="D2661" s="672"/>
      <c r="E2661" s="676" t="s">
        <v>1175</v>
      </c>
      <c r="F2661" s="680" t="s">
        <v>3583</v>
      </c>
      <c r="G2661" s="710">
        <v>260</v>
      </c>
      <c r="H2661" s="682">
        <v>2720</v>
      </c>
      <c r="J2661" s="668" t="str">
        <f t="shared" si="462"/>
        <v>(6) Workmen's Compensation</v>
      </c>
      <c r="L2661" s="668">
        <v>95</v>
      </c>
      <c r="M2661" s="669">
        <v>90</v>
      </c>
      <c r="N2661" s="668"/>
      <c r="O2661" s="668">
        <v>19</v>
      </c>
      <c r="P2661" s="668" t="str">
        <f>IFERROR(VLOOKUP(F2661, [2]MOE!B:C, 2, FALSE), "No")</f>
        <v>No</v>
      </c>
      <c r="Q2661" s="711" t="s">
        <v>1004</v>
      </c>
      <c r="S2661" s="670" t="s">
        <v>3536</v>
      </c>
      <c r="T2661" s="668" t="s">
        <v>1083</v>
      </c>
    </row>
    <row r="2662" spans="1:20">
      <c r="A2662" s="679">
        <v>2702720</v>
      </c>
      <c r="B2662" s="672"/>
      <c r="C2662" s="672"/>
      <c r="D2662" s="672"/>
      <c r="E2662" s="676" t="s">
        <v>1177</v>
      </c>
      <c r="F2662" s="680" t="s">
        <v>3584</v>
      </c>
      <c r="G2662" s="710">
        <v>270</v>
      </c>
      <c r="H2662" s="682">
        <v>2720</v>
      </c>
      <c r="J2662" s="668" t="str">
        <f t="shared" si="462"/>
        <v>(7) Health Benefits (retirees)</v>
      </c>
      <c r="L2662" s="668">
        <v>94</v>
      </c>
      <c r="M2662" s="669">
        <v>89</v>
      </c>
      <c r="N2662" s="668"/>
      <c r="O2662" s="668">
        <v>19</v>
      </c>
      <c r="P2662" s="668" t="str">
        <f>IFERROR(VLOOKUP(F2662, [2]MOE!B:C, 2, FALSE), "No")</f>
        <v>No</v>
      </c>
      <c r="Q2662" s="711" t="s">
        <v>1004</v>
      </c>
      <c r="S2662" s="670" t="s">
        <v>3536</v>
      </c>
      <c r="T2662" s="668" t="s">
        <v>1085</v>
      </c>
    </row>
    <row r="2663" spans="1:20">
      <c r="A2663" s="679">
        <v>2812720</v>
      </c>
      <c r="B2663" s="672"/>
      <c r="C2663" s="672"/>
      <c r="D2663" s="672"/>
      <c r="E2663" s="676" t="s">
        <v>1179</v>
      </c>
      <c r="F2663" s="680" t="s">
        <v>3585</v>
      </c>
      <c r="G2663" s="710">
        <v>281</v>
      </c>
      <c r="H2663" s="682">
        <v>2720</v>
      </c>
      <c r="J2663" s="668" t="str">
        <f t="shared" si="462"/>
        <v>(8) Sick Leave Severance Pay</v>
      </c>
      <c r="L2663" s="668">
        <v>95</v>
      </c>
      <c r="M2663" s="669">
        <v>90</v>
      </c>
      <c r="N2663" s="668"/>
      <c r="O2663" s="668">
        <v>19</v>
      </c>
      <c r="P2663" s="668" t="str">
        <f>IFERROR(VLOOKUP(F2663, [2]MOE!B:C, 2, FALSE), "No")</f>
        <v>No</v>
      </c>
      <c r="Q2663" s="711" t="s">
        <v>1004</v>
      </c>
      <c r="S2663" s="670" t="s">
        <v>3536</v>
      </c>
      <c r="T2663" s="668" t="s">
        <v>1087</v>
      </c>
    </row>
    <row r="2664" spans="1:20">
      <c r="A2664" s="679">
        <v>2822720</v>
      </c>
      <c r="B2664" s="672"/>
      <c r="C2664" s="672"/>
      <c r="D2664" s="672"/>
      <c r="E2664" s="676" t="s">
        <v>1181</v>
      </c>
      <c r="F2664" s="680" t="s">
        <v>3586</v>
      </c>
      <c r="G2664" s="710">
        <v>282</v>
      </c>
      <c r="H2664" s="682">
        <v>2720</v>
      </c>
      <c r="J2664" s="668" t="str">
        <f t="shared" si="462"/>
        <v>(9) Annual Leave Severance Pay</v>
      </c>
      <c r="L2664" s="668">
        <v>95</v>
      </c>
      <c r="M2664" s="669">
        <v>90</v>
      </c>
      <c r="N2664" s="668"/>
      <c r="O2664" s="668">
        <v>19</v>
      </c>
      <c r="P2664" s="668" t="str">
        <f>IFERROR(VLOOKUP(F2664, [2]MOE!B:C, 2, FALSE), "No")</f>
        <v>No</v>
      </c>
      <c r="Q2664" s="711" t="s">
        <v>1004</v>
      </c>
      <c r="S2664" s="670" t="s">
        <v>3536</v>
      </c>
      <c r="T2664" s="668" t="s">
        <v>1089</v>
      </c>
    </row>
    <row r="2665" spans="1:20">
      <c r="A2665" s="679">
        <v>2902720</v>
      </c>
      <c r="B2665" s="672"/>
      <c r="C2665" s="672"/>
      <c r="D2665" s="672"/>
      <c r="E2665" s="676" t="s">
        <v>1183</v>
      </c>
      <c r="F2665" s="680" t="s">
        <v>3587</v>
      </c>
      <c r="G2665" s="710">
        <v>290</v>
      </c>
      <c r="H2665" s="682">
        <v>2720</v>
      </c>
      <c r="J2665" s="668" t="str">
        <f t="shared" si="462"/>
        <v>(10) Other Employee Benefits</v>
      </c>
      <c r="L2665" s="668">
        <v>95</v>
      </c>
      <c r="M2665" s="669">
        <v>90</v>
      </c>
      <c r="N2665" s="668"/>
      <c r="O2665" s="668">
        <v>19</v>
      </c>
      <c r="P2665" s="668" t="str">
        <f>IFERROR(VLOOKUP(F2665, [2]MOE!B:C, 2, FALSE), "No")</f>
        <v>No</v>
      </c>
      <c r="Q2665" s="711" t="s">
        <v>1004</v>
      </c>
      <c r="S2665" s="670" t="s">
        <v>3536</v>
      </c>
      <c r="T2665" s="668" t="s">
        <v>1092</v>
      </c>
    </row>
    <row r="2666" spans="1:20">
      <c r="A2666" s="671"/>
      <c r="B2666" s="672"/>
      <c r="C2666" s="678">
        <v>84</v>
      </c>
      <c r="D2666" s="927" t="s">
        <v>3588</v>
      </c>
      <c r="E2666" s="926"/>
      <c r="F2666" s="675"/>
      <c r="G2666" s="672"/>
      <c r="H2666" s="676"/>
      <c r="Q2666" s="711"/>
      <c r="S2666" s="670"/>
    </row>
    <row r="2667" spans="1:20">
      <c r="A2667" s="671"/>
      <c r="B2667" s="672"/>
      <c r="C2667" s="672"/>
      <c r="D2667" s="672" t="s">
        <v>759</v>
      </c>
      <c r="E2667" s="676" t="s">
        <v>244</v>
      </c>
      <c r="F2667" s="675"/>
      <c r="G2667" s="672"/>
      <c r="H2667" s="676"/>
      <c r="Q2667" s="711"/>
      <c r="S2667" s="670"/>
    </row>
    <row r="2668" spans="1:20">
      <c r="A2668" s="679">
        <v>1152730</v>
      </c>
      <c r="B2668" s="672"/>
      <c r="C2668" s="672"/>
      <c r="D2668" s="672"/>
      <c r="E2668" s="676" t="s">
        <v>3537</v>
      </c>
      <c r="F2668" s="680" t="s">
        <v>3589</v>
      </c>
      <c r="G2668" s="710">
        <v>115</v>
      </c>
      <c r="H2668" s="682">
        <v>2730</v>
      </c>
      <c r="J2668" s="668" t="str">
        <f t="shared" ref="J2668:J2673" si="463">E2668</f>
        <v>(1) Aide/Attendant/Monitor</v>
      </c>
      <c r="L2668" s="668">
        <v>86</v>
      </c>
      <c r="M2668" s="669">
        <v>81</v>
      </c>
      <c r="N2668" s="668"/>
      <c r="O2668" s="668">
        <v>19</v>
      </c>
      <c r="P2668" s="668" t="str">
        <f>IFERROR(VLOOKUP(F2668, [2]MOE!B:C, 2, FALSE), "No")</f>
        <v>YES</v>
      </c>
      <c r="Q2668" s="711" t="s">
        <v>1004</v>
      </c>
      <c r="S2668" s="670" t="s">
        <v>3588</v>
      </c>
      <c r="T2668" s="668" t="s">
        <v>3539</v>
      </c>
    </row>
    <row r="2669" spans="1:20">
      <c r="A2669" s="679">
        <v>1162730</v>
      </c>
      <c r="B2669" s="672"/>
      <c r="C2669" s="672"/>
      <c r="D2669" s="672"/>
      <c r="E2669" s="676" t="s">
        <v>3540</v>
      </c>
      <c r="F2669" s="680" t="s">
        <v>3590</v>
      </c>
      <c r="G2669" s="710">
        <v>116</v>
      </c>
      <c r="H2669" s="682">
        <v>2730</v>
      </c>
      <c r="J2669" s="668" t="str">
        <f t="shared" si="463"/>
        <v>(2) Bus Driver</v>
      </c>
      <c r="L2669" s="668">
        <v>85</v>
      </c>
      <c r="M2669" s="669">
        <v>80</v>
      </c>
      <c r="N2669" s="668"/>
      <c r="O2669" s="668">
        <v>19</v>
      </c>
      <c r="P2669" s="668" t="str">
        <f>IFERROR(VLOOKUP(F2669, [2]MOE!B:C, 2, FALSE), "No")</f>
        <v>YES</v>
      </c>
      <c r="Q2669" s="711" t="s">
        <v>1004</v>
      </c>
      <c r="S2669" s="670" t="s">
        <v>3588</v>
      </c>
      <c r="T2669" s="668" t="s">
        <v>3542</v>
      </c>
    </row>
    <row r="2670" spans="1:20">
      <c r="A2670" s="679">
        <v>1172730</v>
      </c>
      <c r="B2670" s="672"/>
      <c r="C2670" s="672"/>
      <c r="D2670" s="672"/>
      <c r="E2670" s="676" t="s">
        <v>3543</v>
      </c>
      <c r="F2670" s="680" t="s">
        <v>3591</v>
      </c>
      <c r="G2670" s="710">
        <v>117</v>
      </c>
      <c r="H2670" s="682">
        <v>2730</v>
      </c>
      <c r="J2670" s="668" t="str">
        <f t="shared" si="463"/>
        <v>(3) Bus Mechanics</v>
      </c>
      <c r="L2670" s="668">
        <v>86</v>
      </c>
      <c r="M2670" s="669">
        <v>81</v>
      </c>
      <c r="N2670" s="668"/>
      <c r="O2670" s="668">
        <v>19</v>
      </c>
      <c r="P2670" s="668" t="str">
        <f>IFERROR(VLOOKUP(F2670, [2]MOE!B:C, 2, FALSE), "No")</f>
        <v>YES</v>
      </c>
      <c r="Q2670" s="711" t="s">
        <v>1004</v>
      </c>
      <c r="S2670" s="670" t="s">
        <v>3588</v>
      </c>
      <c r="T2670" s="668" t="s">
        <v>3545</v>
      </c>
    </row>
    <row r="2671" spans="1:20">
      <c r="A2671" s="679">
        <v>1242730</v>
      </c>
      <c r="B2671" s="672"/>
      <c r="C2671" s="672"/>
      <c r="D2671" s="672"/>
      <c r="E2671" s="676" t="s">
        <v>3546</v>
      </c>
      <c r="F2671" s="680" t="s">
        <v>3592</v>
      </c>
      <c r="G2671" s="710">
        <v>124</v>
      </c>
      <c r="H2671" s="682">
        <v>2730</v>
      </c>
      <c r="J2671" s="668" t="str">
        <f t="shared" si="463"/>
        <v>(4) Substitute Drivers</v>
      </c>
      <c r="L2671" s="668">
        <v>86</v>
      </c>
      <c r="M2671" s="669">
        <v>81</v>
      </c>
      <c r="N2671" s="668"/>
      <c r="O2671" s="668">
        <v>19</v>
      </c>
      <c r="P2671" s="668" t="str">
        <f>IFERROR(VLOOKUP(F2671, [2]MOE!B:C, 2, FALSE), "No")</f>
        <v>YES</v>
      </c>
      <c r="Q2671" s="711" t="s">
        <v>1004</v>
      </c>
      <c r="S2671" s="670" t="s">
        <v>3588</v>
      </c>
      <c r="T2671" s="668" t="s">
        <v>3548</v>
      </c>
    </row>
    <row r="2672" spans="1:20">
      <c r="A2672" s="679">
        <v>1002730</v>
      </c>
      <c r="B2672" s="672"/>
      <c r="C2672" s="672"/>
      <c r="D2672" s="672"/>
      <c r="E2672" s="676" t="s">
        <v>3593</v>
      </c>
      <c r="F2672" s="680" t="s">
        <v>3594</v>
      </c>
      <c r="G2672" s="710">
        <v>100</v>
      </c>
      <c r="H2672" s="682">
        <v>2730</v>
      </c>
      <c r="J2672" s="668" t="str">
        <f t="shared" si="463"/>
        <v>(5) Other Salaries - Special Needs Trans. Svcs</v>
      </c>
      <c r="L2672" s="668">
        <v>86</v>
      </c>
      <c r="M2672" s="669">
        <v>81</v>
      </c>
      <c r="N2672" s="668"/>
      <c r="O2672" s="668">
        <v>19</v>
      </c>
      <c r="P2672" s="668" t="str">
        <f>IFERROR(VLOOKUP(F2672, [2]MOE!B:C, 2, FALSE), "No")</f>
        <v>YES</v>
      </c>
      <c r="Q2672" s="711" t="s">
        <v>1004</v>
      </c>
      <c r="S2672" s="670" t="s">
        <v>3588</v>
      </c>
      <c r="T2672" s="668" t="s">
        <v>3595</v>
      </c>
    </row>
    <row r="2673" spans="1:20">
      <c r="A2673" s="679">
        <v>3002730</v>
      </c>
      <c r="B2673" s="672"/>
      <c r="C2673" s="672"/>
      <c r="D2673" s="672" t="s">
        <v>777</v>
      </c>
      <c r="E2673" s="676" t="s">
        <v>1113</v>
      </c>
      <c r="F2673" s="680" t="s">
        <v>3596</v>
      </c>
      <c r="G2673" s="710">
        <v>300</v>
      </c>
      <c r="H2673" s="682">
        <v>2730</v>
      </c>
      <c r="J2673" s="668" t="str">
        <f t="shared" si="463"/>
        <v>Purchased Professional and Technical Svcs</v>
      </c>
      <c r="L2673" s="668">
        <v>101</v>
      </c>
      <c r="M2673" s="669">
        <v>96</v>
      </c>
      <c r="N2673" s="668"/>
      <c r="O2673" s="668">
        <v>19</v>
      </c>
      <c r="P2673" s="668" t="str">
        <f>IFERROR(VLOOKUP(F2673, [2]MOE!B:C, 2, FALSE), "No")</f>
        <v>YES</v>
      </c>
      <c r="Q2673" s="711"/>
      <c r="S2673" s="670" t="s">
        <v>3588</v>
      </c>
      <c r="T2673" s="668" t="s">
        <v>1113</v>
      </c>
    </row>
    <row r="2674" spans="1:20">
      <c r="A2674" s="671"/>
      <c r="B2674" s="672"/>
      <c r="C2674" s="672"/>
      <c r="D2674" s="672" t="s">
        <v>801</v>
      </c>
      <c r="E2674" s="676" t="s">
        <v>250</v>
      </c>
      <c r="F2674" s="675"/>
      <c r="G2674" s="672"/>
      <c r="H2674" s="676"/>
      <c r="Q2674" s="711"/>
      <c r="S2674" s="670"/>
    </row>
    <row r="2675" spans="1:20">
      <c r="A2675" s="679">
        <v>4302730</v>
      </c>
      <c r="B2675" s="672"/>
      <c r="C2675" s="672"/>
      <c r="D2675" s="672"/>
      <c r="E2675" s="676" t="s">
        <v>1115</v>
      </c>
      <c r="F2675" s="680" t="s">
        <v>3597</v>
      </c>
      <c r="G2675" s="710">
        <v>430</v>
      </c>
      <c r="H2675" s="682">
        <v>2730</v>
      </c>
      <c r="J2675" s="668" t="str">
        <f t="shared" ref="J2675:J2677" si="464">E2675</f>
        <v>(1) Repairs and Maintenance Services</v>
      </c>
      <c r="L2675" s="668">
        <v>107</v>
      </c>
      <c r="M2675" s="669">
        <v>102</v>
      </c>
      <c r="N2675" s="668"/>
      <c r="O2675" s="668">
        <v>19</v>
      </c>
      <c r="P2675" s="668" t="str">
        <f>IFERROR(VLOOKUP(F2675, [2]MOE!B:C, 2, FALSE), "No")</f>
        <v>YES</v>
      </c>
      <c r="Q2675" s="711"/>
      <c r="S2675" s="670" t="s">
        <v>3588</v>
      </c>
      <c r="T2675" s="668" t="s">
        <v>1023</v>
      </c>
    </row>
    <row r="2676" spans="1:20">
      <c r="A2676" s="679">
        <v>4422730</v>
      </c>
      <c r="B2676" s="672"/>
      <c r="C2676" s="672"/>
      <c r="D2676" s="672"/>
      <c r="E2676" s="676" t="s">
        <v>1382</v>
      </c>
      <c r="F2676" s="680" t="s">
        <v>3598</v>
      </c>
      <c r="G2676" s="710">
        <v>442</v>
      </c>
      <c r="H2676" s="682">
        <v>2730</v>
      </c>
      <c r="J2676" s="668" t="str">
        <f t="shared" si="464"/>
        <v>(2) Rental of Equipment and Vehicles</v>
      </c>
      <c r="L2676" s="668">
        <v>106</v>
      </c>
      <c r="M2676" s="669">
        <v>101</v>
      </c>
      <c r="N2676" s="668"/>
      <c r="O2676" s="668">
        <v>19</v>
      </c>
      <c r="P2676" s="668" t="str">
        <f>IFERROR(VLOOKUP(F2676, [2]MOE!B:C, 2, FALSE), "No")</f>
        <v>YES</v>
      </c>
      <c r="Q2676" s="711"/>
      <c r="S2676" s="670" t="s">
        <v>3588</v>
      </c>
      <c r="T2676" s="668" t="s">
        <v>1384</v>
      </c>
    </row>
    <row r="2677" spans="1:20">
      <c r="A2677" s="679">
        <v>4002730</v>
      </c>
      <c r="B2677" s="672"/>
      <c r="C2677" s="672"/>
      <c r="D2677" s="672"/>
      <c r="E2677" s="676" t="s">
        <v>1119</v>
      </c>
      <c r="F2677" s="680" t="s">
        <v>3599</v>
      </c>
      <c r="G2677" s="710">
        <v>400</v>
      </c>
      <c r="H2677" s="682">
        <v>2730</v>
      </c>
      <c r="J2677" s="668" t="str">
        <f t="shared" si="464"/>
        <v>(3) Other Purchased Property Services</v>
      </c>
      <c r="L2677" s="668">
        <v>108</v>
      </c>
      <c r="M2677" s="669">
        <v>103</v>
      </c>
      <c r="N2677" s="668"/>
      <c r="O2677" s="668">
        <v>19</v>
      </c>
      <c r="P2677" s="668" t="str">
        <f>IFERROR(VLOOKUP(F2677, [2]MOE!B:C, 2, FALSE), "No")</f>
        <v>YES</v>
      </c>
      <c r="Q2677" s="711"/>
      <c r="S2677" s="670" t="s">
        <v>3588</v>
      </c>
      <c r="T2677" s="668" t="s">
        <v>1027</v>
      </c>
    </row>
    <row r="2678" spans="1:20">
      <c r="A2678" s="671"/>
      <c r="B2678" s="672"/>
      <c r="C2678" s="672"/>
      <c r="D2678" s="672" t="s">
        <v>805</v>
      </c>
      <c r="E2678" s="676" t="s">
        <v>252</v>
      </c>
      <c r="F2678" s="675"/>
      <c r="G2678" s="672"/>
      <c r="H2678" s="676"/>
      <c r="Q2678" s="711"/>
      <c r="S2678" s="670"/>
    </row>
    <row r="2679" spans="1:20">
      <c r="A2679" s="679">
        <v>5132730</v>
      </c>
      <c r="B2679" s="672"/>
      <c r="C2679" s="672"/>
      <c r="D2679" s="672"/>
      <c r="E2679" s="676" t="s">
        <v>3556</v>
      </c>
      <c r="F2679" s="680" t="s">
        <v>3600</v>
      </c>
      <c r="G2679" s="710">
        <v>513</v>
      </c>
      <c r="H2679" s="682">
        <v>2730</v>
      </c>
      <c r="J2679" s="668" t="str">
        <f t="shared" ref="J2679:J2682" si="465">E2679</f>
        <v>(1) Payments in Lieu of Transportation</v>
      </c>
      <c r="L2679" s="668">
        <v>111</v>
      </c>
      <c r="M2679" s="669">
        <v>106</v>
      </c>
      <c r="N2679" s="668"/>
      <c r="O2679" s="668">
        <v>19</v>
      </c>
      <c r="P2679" s="668" t="str">
        <f>IFERROR(VLOOKUP(F2679, [2]MOE!B:C, 2, FALSE), "No")</f>
        <v>YES</v>
      </c>
      <c r="Q2679" s="711"/>
      <c r="S2679" s="670" t="s">
        <v>3588</v>
      </c>
      <c r="T2679" s="668" t="s">
        <v>3558</v>
      </c>
    </row>
    <row r="2680" spans="1:20">
      <c r="A2680" s="679">
        <v>5232730</v>
      </c>
      <c r="B2680" s="672"/>
      <c r="C2680" s="672"/>
      <c r="D2680" s="672"/>
      <c r="E2680" s="676" t="s">
        <v>3559</v>
      </c>
      <c r="F2680" s="680" t="s">
        <v>3601</v>
      </c>
      <c r="G2680" s="710">
        <v>523</v>
      </c>
      <c r="H2680" s="682">
        <v>2730</v>
      </c>
      <c r="J2680" s="668" t="str">
        <f t="shared" si="465"/>
        <v>(2) Fleet Insurance</v>
      </c>
      <c r="L2680" s="668">
        <v>114</v>
      </c>
      <c r="M2680" s="669">
        <v>107</v>
      </c>
      <c r="N2680" s="668"/>
      <c r="O2680" s="668">
        <v>19</v>
      </c>
      <c r="P2680" s="668" t="str">
        <f>IFERROR(VLOOKUP(F2680, [2]MOE!B:C, 2, FALSE), "No")</f>
        <v>YES</v>
      </c>
      <c r="Q2680" s="711"/>
      <c r="S2680" s="670" t="s">
        <v>3588</v>
      </c>
      <c r="T2680" s="668" t="s">
        <v>1388</v>
      </c>
    </row>
    <row r="2681" spans="1:20">
      <c r="A2681" s="679">
        <v>5832730</v>
      </c>
      <c r="B2681" s="672"/>
      <c r="C2681" s="672"/>
      <c r="D2681" s="672"/>
      <c r="E2681" s="676" t="s">
        <v>3561</v>
      </c>
      <c r="F2681" s="680" t="s">
        <v>3602</v>
      </c>
      <c r="G2681" s="710">
        <v>583</v>
      </c>
      <c r="H2681" s="682">
        <v>2730</v>
      </c>
      <c r="J2681" s="668" t="str">
        <f t="shared" si="465"/>
        <v>(3) Operational Allowance</v>
      </c>
      <c r="L2681" s="668">
        <v>118</v>
      </c>
      <c r="M2681" s="669">
        <v>109</v>
      </c>
      <c r="N2681" s="668"/>
      <c r="O2681" s="668">
        <v>19</v>
      </c>
      <c r="P2681" s="668" t="str">
        <f>IFERROR(VLOOKUP(F2681, [2]MOE!B:C, 2, FALSE), "No")</f>
        <v>YES</v>
      </c>
      <c r="Q2681" s="711"/>
      <c r="S2681" s="670" t="s">
        <v>3588</v>
      </c>
      <c r="T2681" s="668" t="s">
        <v>3563</v>
      </c>
    </row>
    <row r="2682" spans="1:20">
      <c r="A2682" s="679">
        <v>5002730</v>
      </c>
      <c r="B2682" s="672"/>
      <c r="C2682" s="672"/>
      <c r="D2682" s="672"/>
      <c r="E2682" s="676" t="s">
        <v>1395</v>
      </c>
      <c r="F2682" s="680" t="s">
        <v>3603</v>
      </c>
      <c r="G2682" s="710">
        <v>500</v>
      </c>
      <c r="H2682" s="682">
        <v>2730</v>
      </c>
      <c r="J2682" s="668" t="str">
        <f t="shared" si="465"/>
        <v>(4) Other Purchased Services</v>
      </c>
      <c r="L2682" s="668">
        <v>111</v>
      </c>
      <c r="M2682" s="669">
        <v>106</v>
      </c>
      <c r="N2682" s="668"/>
      <c r="O2682" s="668">
        <v>19</v>
      </c>
      <c r="P2682" s="668" t="str">
        <f>IFERROR(VLOOKUP(F2682, [2]MOE!B:C, 2, FALSE), "No")</f>
        <v>YES</v>
      </c>
      <c r="Q2682" s="711"/>
      <c r="S2682" s="670" t="s">
        <v>3588</v>
      </c>
      <c r="T2682" s="668" t="s">
        <v>252</v>
      </c>
    </row>
    <row r="2683" spans="1:20">
      <c r="A2683" s="671"/>
      <c r="B2683" s="672"/>
      <c r="C2683" s="672"/>
      <c r="D2683" s="672" t="s">
        <v>850</v>
      </c>
      <c r="E2683" s="676" t="s">
        <v>254</v>
      </c>
      <c r="F2683" s="675"/>
      <c r="G2683" s="672"/>
      <c r="H2683" s="676"/>
      <c r="Q2683" s="711"/>
      <c r="S2683" s="670"/>
    </row>
    <row r="2684" spans="1:20">
      <c r="A2684" s="679">
        <v>6152730</v>
      </c>
      <c r="B2684" s="672"/>
      <c r="C2684" s="672"/>
      <c r="D2684" s="672"/>
      <c r="E2684" s="676" t="s">
        <v>1139</v>
      </c>
      <c r="F2684" s="680" t="s">
        <v>3604</v>
      </c>
      <c r="G2684" s="710">
        <v>615</v>
      </c>
      <c r="H2684" s="682">
        <v>2730</v>
      </c>
      <c r="J2684" s="668" t="str">
        <f t="shared" ref="J2684:J2687" si="466">E2684</f>
        <v>(1) Technology-Related Supplies</v>
      </c>
      <c r="L2684" s="668">
        <v>126</v>
      </c>
      <c r="M2684" s="669">
        <v>117</v>
      </c>
      <c r="N2684" s="668"/>
      <c r="O2684" s="668">
        <v>19</v>
      </c>
      <c r="P2684" s="668" t="str">
        <f>IFERROR(VLOOKUP(F2684, [2]MOE!B:C, 2, FALSE), "No")</f>
        <v>YES</v>
      </c>
      <c r="Q2684" s="711" t="s">
        <v>1045</v>
      </c>
      <c r="S2684" s="670" t="s">
        <v>3588</v>
      </c>
      <c r="T2684" s="668" t="s">
        <v>1043</v>
      </c>
    </row>
    <row r="2685" spans="1:20">
      <c r="A2685" s="679">
        <v>6102730</v>
      </c>
      <c r="B2685" s="672"/>
      <c r="C2685" s="672"/>
      <c r="D2685" s="672"/>
      <c r="E2685" s="676" t="s">
        <v>1141</v>
      </c>
      <c r="F2685" s="680" t="s">
        <v>3605</v>
      </c>
      <c r="G2685" s="710">
        <v>610</v>
      </c>
      <c r="H2685" s="682">
        <v>2730</v>
      </c>
      <c r="J2685" s="668" t="str">
        <f t="shared" si="466"/>
        <v>(2) Materials and Supplies</v>
      </c>
      <c r="L2685" s="668">
        <v>122</v>
      </c>
      <c r="M2685" s="669">
        <v>113</v>
      </c>
      <c r="N2685" s="668"/>
      <c r="O2685" s="668">
        <v>19</v>
      </c>
      <c r="P2685" s="668" t="str">
        <f>IFERROR(VLOOKUP(F2685, [2]MOE!B:C, 2, FALSE), "No")</f>
        <v>YES</v>
      </c>
      <c r="Q2685" s="711" t="s">
        <v>1045</v>
      </c>
      <c r="S2685" s="670" t="s">
        <v>3588</v>
      </c>
      <c r="T2685" s="668" t="s">
        <v>39</v>
      </c>
    </row>
    <row r="2686" spans="1:20">
      <c r="A2686" s="679">
        <v>6262730</v>
      </c>
      <c r="B2686" s="672"/>
      <c r="C2686" s="672"/>
      <c r="D2686" s="672"/>
      <c r="E2686" s="676" t="s">
        <v>1399</v>
      </c>
      <c r="F2686" s="680" t="s">
        <v>3606</v>
      </c>
      <c r="G2686" s="710">
        <v>626</v>
      </c>
      <c r="H2686" s="682">
        <v>2730</v>
      </c>
      <c r="J2686" s="668" t="str">
        <f t="shared" si="466"/>
        <v>(3) Fuel</v>
      </c>
      <c r="L2686" s="668">
        <v>123</v>
      </c>
      <c r="M2686" s="669">
        <v>114</v>
      </c>
      <c r="N2686" s="668"/>
      <c r="O2686" s="668">
        <v>19</v>
      </c>
      <c r="P2686" s="668" t="str">
        <f>IFERROR(VLOOKUP(F2686, [2]MOE!B:C, 2, FALSE), "No")</f>
        <v>YES</v>
      </c>
      <c r="Q2686" s="711" t="s">
        <v>1045</v>
      </c>
      <c r="S2686" s="670" t="s">
        <v>3588</v>
      </c>
      <c r="T2686" s="668" t="s">
        <v>1401</v>
      </c>
    </row>
    <row r="2687" spans="1:20">
      <c r="A2687" s="679">
        <v>6002730</v>
      </c>
      <c r="B2687" s="672"/>
      <c r="C2687" s="672"/>
      <c r="D2687" s="672"/>
      <c r="E2687" s="676" t="s">
        <v>1145</v>
      </c>
      <c r="F2687" s="680" t="s">
        <v>3607</v>
      </c>
      <c r="G2687" s="710">
        <v>600</v>
      </c>
      <c r="H2687" s="682">
        <v>2730</v>
      </c>
      <c r="J2687" s="668" t="str">
        <f t="shared" si="466"/>
        <v>(4) Other Supplies</v>
      </c>
      <c r="L2687" s="668">
        <v>126</v>
      </c>
      <c r="M2687" s="669">
        <v>117</v>
      </c>
      <c r="N2687" s="668"/>
      <c r="O2687" s="668">
        <v>19</v>
      </c>
      <c r="P2687" s="668" t="str">
        <f>IFERROR(VLOOKUP(F2687, [2]MOE!B:C, 2, FALSE), "No")</f>
        <v>YES</v>
      </c>
      <c r="Q2687" s="711"/>
      <c r="S2687" s="670" t="s">
        <v>3588</v>
      </c>
      <c r="T2687" s="668" t="s">
        <v>1050</v>
      </c>
    </row>
    <row r="2688" spans="1:20">
      <c r="A2688" s="671"/>
      <c r="B2688" s="672"/>
      <c r="C2688" s="672"/>
      <c r="D2688" s="672" t="s">
        <v>853</v>
      </c>
      <c r="E2688" s="676" t="s">
        <v>1052</v>
      </c>
      <c r="F2688" s="675"/>
      <c r="G2688" s="672"/>
      <c r="H2688" s="676"/>
      <c r="Q2688" s="711"/>
      <c r="S2688" s="670"/>
    </row>
    <row r="2689" spans="1:20">
      <c r="A2689" s="679">
        <v>7342730</v>
      </c>
      <c r="B2689" s="672"/>
      <c r="C2689" s="672"/>
      <c r="D2689" s="672"/>
      <c r="E2689" s="676" t="s">
        <v>1147</v>
      </c>
      <c r="F2689" s="680" t="s">
        <v>3608</v>
      </c>
      <c r="G2689" s="710">
        <v>734</v>
      </c>
      <c r="H2689" s="682">
        <v>2730</v>
      </c>
      <c r="J2689" s="668" t="str">
        <f t="shared" ref="J2689:J2692" si="467">E2689</f>
        <v>(1) Technology-Related Hardware</v>
      </c>
      <c r="L2689" s="668">
        <v>131</v>
      </c>
      <c r="M2689" s="669">
        <v>122</v>
      </c>
      <c r="N2689" s="668"/>
      <c r="O2689" s="668">
        <v>19</v>
      </c>
      <c r="P2689" s="668" t="str">
        <f>IFERROR(VLOOKUP(F2689, [2]MOE!B:C, 2, FALSE), "No")</f>
        <v>No</v>
      </c>
      <c r="Q2689" s="711"/>
      <c r="S2689" s="670" t="s">
        <v>3588</v>
      </c>
      <c r="T2689" s="668" t="s">
        <v>1053</v>
      </c>
    </row>
    <row r="2690" spans="1:20">
      <c r="A2690" s="679">
        <v>7352730</v>
      </c>
      <c r="B2690" s="672"/>
      <c r="C2690" s="672"/>
      <c r="D2690" s="672"/>
      <c r="E2690" s="676" t="s">
        <v>1149</v>
      </c>
      <c r="F2690" s="680" t="s">
        <v>3609</v>
      </c>
      <c r="G2690" s="710">
        <v>735</v>
      </c>
      <c r="H2690" s="682">
        <v>2730</v>
      </c>
      <c r="J2690" s="668" t="str">
        <f t="shared" si="467"/>
        <v>(2) Technology Software</v>
      </c>
      <c r="L2690" s="668">
        <v>131</v>
      </c>
      <c r="M2690" s="669">
        <v>122</v>
      </c>
      <c r="N2690" s="668"/>
      <c r="O2690" s="668">
        <v>19</v>
      </c>
      <c r="P2690" s="668" t="str">
        <f>IFERROR(VLOOKUP(F2690, [2]MOE!B:C, 2, FALSE), "No")</f>
        <v>No</v>
      </c>
      <c r="Q2690" s="711"/>
      <c r="S2690" s="670" t="s">
        <v>3588</v>
      </c>
      <c r="T2690" s="668" t="s">
        <v>1055</v>
      </c>
    </row>
    <row r="2691" spans="1:20">
      <c r="A2691" s="679">
        <v>7302730</v>
      </c>
      <c r="B2691" s="672"/>
      <c r="C2691" s="672"/>
      <c r="D2691" s="672"/>
      <c r="E2691" s="676" t="s">
        <v>3518</v>
      </c>
      <c r="F2691" s="680" t="s">
        <v>3610</v>
      </c>
      <c r="G2691" s="710">
        <v>730</v>
      </c>
      <c r="H2691" s="682">
        <v>2730</v>
      </c>
      <c r="J2691" s="668" t="str">
        <f t="shared" si="467"/>
        <v>(3) All Other Equipment (Inc. Veh/Buses)</v>
      </c>
      <c r="L2691" s="668">
        <v>131</v>
      </c>
      <c r="M2691" s="669">
        <v>122</v>
      </c>
      <c r="N2691" s="668"/>
      <c r="O2691" s="668">
        <v>19</v>
      </c>
      <c r="P2691" s="668" t="str">
        <f>IFERROR(VLOOKUP(F2691, [2]MOE!B:C, 2, FALSE), "No")</f>
        <v>No</v>
      </c>
      <c r="Q2691" s="711"/>
      <c r="S2691" s="670" t="s">
        <v>3588</v>
      </c>
      <c r="T2691" s="668" t="s">
        <v>1057</v>
      </c>
    </row>
    <row r="2692" spans="1:20">
      <c r="A2692" s="679">
        <v>7002730</v>
      </c>
      <c r="B2692" s="672"/>
      <c r="C2692" s="672"/>
      <c r="D2692" s="672"/>
      <c r="E2692" s="676" t="s">
        <v>1153</v>
      </c>
      <c r="F2692" s="680" t="s">
        <v>3611</v>
      </c>
      <c r="G2692" s="710">
        <v>700</v>
      </c>
      <c r="H2692" s="682">
        <v>2730</v>
      </c>
      <c r="J2692" s="668" t="str">
        <f t="shared" si="467"/>
        <v>(4) Other Property</v>
      </c>
      <c r="L2692" s="668">
        <v>132</v>
      </c>
      <c r="M2692" s="669">
        <v>123</v>
      </c>
      <c r="N2692" s="668"/>
      <c r="O2692" s="668">
        <v>19</v>
      </c>
      <c r="P2692" s="668" t="str">
        <f>IFERROR(VLOOKUP(F2692, [2]MOE!B:C, 2, FALSE), "No")</f>
        <v>No</v>
      </c>
      <c r="Q2692" s="711"/>
      <c r="S2692" s="670" t="s">
        <v>3588</v>
      </c>
      <c r="T2692" s="668" t="s">
        <v>1059</v>
      </c>
    </row>
    <row r="2693" spans="1:20">
      <c r="A2693" s="671"/>
      <c r="B2693" s="672"/>
      <c r="C2693" s="672"/>
      <c r="D2693" s="672" t="s">
        <v>856</v>
      </c>
      <c r="E2693" s="676" t="s">
        <v>256</v>
      </c>
      <c r="F2693" s="675"/>
      <c r="G2693" s="672"/>
      <c r="H2693" s="676"/>
      <c r="Q2693" s="711"/>
      <c r="S2693" s="670"/>
    </row>
    <row r="2694" spans="1:20">
      <c r="A2694" s="679">
        <v>8952730</v>
      </c>
      <c r="B2694" s="672"/>
      <c r="C2694" s="672"/>
      <c r="D2694" s="672"/>
      <c r="E2694" s="676" t="s">
        <v>1155</v>
      </c>
      <c r="F2694" s="680" t="s">
        <v>3612</v>
      </c>
      <c r="G2694" s="710">
        <v>895</v>
      </c>
      <c r="H2694" s="682">
        <v>2730</v>
      </c>
      <c r="J2694" s="668" t="str">
        <f t="shared" ref="J2694:J2695" si="468">E2694</f>
        <v>(1) Miscellaneous Non-Public Expenditures</v>
      </c>
      <c r="L2694" s="668">
        <v>139</v>
      </c>
      <c r="M2694" s="669">
        <v>129</v>
      </c>
      <c r="N2694" s="668"/>
      <c r="O2694" s="668">
        <v>19</v>
      </c>
      <c r="P2694" s="668" t="str">
        <f>IFERROR(VLOOKUP(F2694, [2]MOE!B:C, 2, FALSE), "No")</f>
        <v>YES</v>
      </c>
      <c r="Q2694" s="711"/>
      <c r="S2694" s="670" t="s">
        <v>3588</v>
      </c>
      <c r="T2694" s="668" t="s">
        <v>1061</v>
      </c>
    </row>
    <row r="2695" spans="1:20">
      <c r="A2695" s="679">
        <v>8002730</v>
      </c>
      <c r="B2695" s="672"/>
      <c r="C2695" s="672"/>
      <c r="D2695" s="672"/>
      <c r="E2695" s="676" t="s">
        <v>1157</v>
      </c>
      <c r="F2695" s="680" t="s">
        <v>3613</v>
      </c>
      <c r="G2695" s="710">
        <v>800</v>
      </c>
      <c r="H2695" s="682">
        <v>2730</v>
      </c>
      <c r="J2695" s="668" t="str">
        <f t="shared" si="468"/>
        <v>(2) Other Miscellaneous Expenditures</v>
      </c>
      <c r="L2695" s="668">
        <v>139</v>
      </c>
      <c r="M2695" s="669">
        <v>129</v>
      </c>
      <c r="N2695" s="668"/>
      <c r="O2695" s="668">
        <v>19</v>
      </c>
      <c r="P2695" s="668" t="str">
        <f>IFERROR(VLOOKUP(F2695, [2]MOE!B:C, 2, FALSE), "No")</f>
        <v>YES</v>
      </c>
      <c r="Q2695" s="711"/>
      <c r="S2695" s="670" t="s">
        <v>3588</v>
      </c>
      <c r="T2695" s="668" t="s">
        <v>1063</v>
      </c>
    </row>
    <row r="2696" spans="1:20">
      <c r="A2696" s="671"/>
      <c r="B2696" s="672"/>
      <c r="C2696" s="672"/>
      <c r="D2696" s="672" t="s">
        <v>859</v>
      </c>
      <c r="E2696" s="676" t="s">
        <v>3614</v>
      </c>
      <c r="F2696" s="675"/>
      <c r="G2696" s="672"/>
      <c r="H2696" s="676"/>
      <c r="Q2696" s="711"/>
      <c r="S2696" s="670"/>
    </row>
    <row r="2697" spans="1:20">
      <c r="A2697" s="679">
        <v>2102730</v>
      </c>
      <c r="B2697" s="672"/>
      <c r="C2697" s="672"/>
      <c r="D2697" s="672"/>
      <c r="E2697" s="676" t="s">
        <v>1159</v>
      </c>
      <c r="F2697" s="680" t="s">
        <v>3615</v>
      </c>
      <c r="G2697" s="710">
        <v>210</v>
      </c>
      <c r="H2697" s="682">
        <v>2730</v>
      </c>
      <c r="J2697" s="668" t="str">
        <f t="shared" ref="J2697:J2699" si="469">E2697</f>
        <v>(1) Group Insurance</v>
      </c>
      <c r="L2697" s="668">
        <v>89</v>
      </c>
      <c r="M2697" s="669">
        <v>84</v>
      </c>
      <c r="N2697" s="668"/>
      <c r="O2697" s="668">
        <v>19</v>
      </c>
      <c r="P2697" s="668" t="str">
        <f>IFERROR(VLOOKUP(F2697, [2]MOE!B:C, 2, FALSE), "No")</f>
        <v>YES</v>
      </c>
      <c r="Q2697" s="711" t="s">
        <v>1004</v>
      </c>
      <c r="S2697" s="670" t="s">
        <v>3588</v>
      </c>
      <c r="T2697" s="668" t="s">
        <v>1066</v>
      </c>
    </row>
    <row r="2698" spans="1:20">
      <c r="A2698" s="679">
        <v>2202730</v>
      </c>
      <c r="B2698" s="672"/>
      <c r="C2698" s="672"/>
      <c r="D2698" s="672"/>
      <c r="E2698" s="676" t="s">
        <v>1161</v>
      </c>
      <c r="F2698" s="680" t="s">
        <v>3616</v>
      </c>
      <c r="G2698" s="710">
        <v>220</v>
      </c>
      <c r="H2698" s="682">
        <v>2730</v>
      </c>
      <c r="J2698" s="668" t="str">
        <f t="shared" si="469"/>
        <v>(2) FICA</v>
      </c>
      <c r="L2698" s="668">
        <v>90</v>
      </c>
      <c r="M2698" s="669">
        <v>85</v>
      </c>
      <c r="N2698" s="668"/>
      <c r="O2698" s="668">
        <v>19</v>
      </c>
      <c r="P2698" s="668" t="str">
        <f>IFERROR(VLOOKUP(F2698, [2]MOE!B:C, 2, FALSE), "No")</f>
        <v>YES</v>
      </c>
      <c r="Q2698" s="711" t="s">
        <v>1004</v>
      </c>
      <c r="S2698" s="670" t="s">
        <v>3588</v>
      </c>
      <c r="T2698" s="668" t="s">
        <v>1068</v>
      </c>
    </row>
    <row r="2699" spans="1:20">
      <c r="A2699" s="679">
        <v>2252730</v>
      </c>
      <c r="B2699" s="672"/>
      <c r="C2699" s="672"/>
      <c r="D2699" s="672"/>
      <c r="E2699" s="676" t="s">
        <v>1163</v>
      </c>
      <c r="F2699" s="680" t="s">
        <v>3617</v>
      </c>
      <c r="G2699" s="710">
        <v>225</v>
      </c>
      <c r="H2699" s="682">
        <v>2730</v>
      </c>
      <c r="J2699" s="668" t="str">
        <f t="shared" si="469"/>
        <v>(3) Medicare</v>
      </c>
      <c r="L2699" s="668">
        <v>91</v>
      </c>
      <c r="M2699" s="669">
        <v>86</v>
      </c>
      <c r="N2699" s="668"/>
      <c r="O2699" s="668">
        <v>19</v>
      </c>
      <c r="P2699" s="668" t="str">
        <f>IFERROR(VLOOKUP(F2699, [2]MOE!B:C, 2, FALSE), "No")</f>
        <v>YES</v>
      </c>
      <c r="Q2699" s="711" t="s">
        <v>1004</v>
      </c>
      <c r="S2699" s="670" t="s">
        <v>3588</v>
      </c>
      <c r="T2699" s="668" t="s">
        <v>23</v>
      </c>
    </row>
    <row r="2700" spans="1:20">
      <c r="A2700" s="671"/>
      <c r="B2700" s="672"/>
      <c r="C2700" s="672"/>
      <c r="D2700" s="672"/>
      <c r="E2700" s="676" t="s">
        <v>1165</v>
      </c>
      <c r="F2700" s="675"/>
      <c r="G2700" s="672"/>
      <c r="H2700" s="676"/>
      <c r="Q2700" s="711"/>
      <c r="S2700" s="670"/>
    </row>
    <row r="2701" spans="1:20">
      <c r="A2701" s="679">
        <v>2312730</v>
      </c>
      <c r="B2701" s="672"/>
      <c r="C2701" s="672"/>
      <c r="D2701" s="672"/>
      <c r="E2701" s="676" t="s">
        <v>1166</v>
      </c>
      <c r="F2701" s="680" t="s">
        <v>3618</v>
      </c>
      <c r="G2701" s="710">
        <v>231</v>
      </c>
      <c r="H2701" s="682">
        <v>2730</v>
      </c>
      <c r="J2701" s="668" t="str">
        <f t="shared" ref="J2701:J2709" si="470">E2701</f>
        <v>(a) Louisiana Teachers Retirement</v>
      </c>
      <c r="L2701" s="668">
        <v>92</v>
      </c>
      <c r="M2701" s="669">
        <v>87</v>
      </c>
      <c r="N2701" s="668"/>
      <c r="O2701" s="668">
        <v>19</v>
      </c>
      <c r="P2701" s="668" t="str">
        <f>IFERROR(VLOOKUP(F2701, [2]MOE!B:C, 2, FALSE), "No")</f>
        <v>YES</v>
      </c>
      <c r="Q2701" s="711" t="s">
        <v>1004</v>
      </c>
      <c r="S2701" s="670" t="s">
        <v>3588</v>
      </c>
      <c r="T2701" s="668" t="s">
        <v>1074</v>
      </c>
    </row>
    <row r="2702" spans="1:20">
      <c r="A2702" s="679">
        <v>2332730</v>
      </c>
      <c r="B2702" s="672"/>
      <c r="C2702" s="672"/>
      <c r="D2702" s="672"/>
      <c r="E2702" s="676" t="s">
        <v>1168</v>
      </c>
      <c r="F2702" s="680" t="s">
        <v>3619</v>
      </c>
      <c r="G2702" s="710">
        <v>233</v>
      </c>
      <c r="H2702" s="682">
        <v>2730</v>
      </c>
      <c r="J2702" s="668" t="str">
        <f t="shared" si="470"/>
        <v>(b) Louisiana School Emp. Retirement</v>
      </c>
      <c r="L2702" s="668">
        <v>92</v>
      </c>
      <c r="M2702" s="669">
        <v>87</v>
      </c>
      <c r="N2702" s="668"/>
      <c r="O2702" s="668">
        <v>19</v>
      </c>
      <c r="P2702" s="668" t="str">
        <f>IFERROR(VLOOKUP(F2702, [2]MOE!B:C, 2, FALSE), "No")</f>
        <v>YES</v>
      </c>
      <c r="Q2702" s="711" t="s">
        <v>1004</v>
      </c>
      <c r="S2702" s="670" t="s">
        <v>3588</v>
      </c>
      <c r="T2702" s="668" t="s">
        <v>1170</v>
      </c>
    </row>
    <row r="2703" spans="1:20">
      <c r="A2703" s="679">
        <v>2392730</v>
      </c>
      <c r="B2703" s="672"/>
      <c r="C2703" s="672"/>
      <c r="D2703" s="672"/>
      <c r="E2703" s="676" t="s">
        <v>1171</v>
      </c>
      <c r="F2703" s="680" t="s">
        <v>3620</v>
      </c>
      <c r="G2703" s="710">
        <v>239</v>
      </c>
      <c r="H2703" s="682">
        <v>2730</v>
      </c>
      <c r="J2703" s="668" t="str">
        <f t="shared" si="470"/>
        <v>(c) Other Retirement</v>
      </c>
      <c r="L2703" s="668">
        <v>92</v>
      </c>
      <c r="M2703" s="669">
        <v>87</v>
      </c>
      <c r="N2703" s="668"/>
      <c r="O2703" s="668">
        <v>19</v>
      </c>
      <c r="P2703" s="668" t="str">
        <f>IFERROR(VLOOKUP(F2703, [2]MOE!B:C, 2, FALSE), "No")</f>
        <v>YES</v>
      </c>
      <c r="Q2703" s="711" t="s">
        <v>1004</v>
      </c>
      <c r="S2703" s="670" t="s">
        <v>3588</v>
      </c>
      <c r="T2703" s="668" t="s">
        <v>1080</v>
      </c>
    </row>
    <row r="2704" spans="1:20">
      <c r="A2704" s="679">
        <v>2502730</v>
      </c>
      <c r="B2704" s="672"/>
      <c r="C2704" s="672"/>
      <c r="D2704" s="672"/>
      <c r="E2704" s="676" t="s">
        <v>1173</v>
      </c>
      <c r="F2704" s="680" t="s">
        <v>3621</v>
      </c>
      <c r="G2704" s="710">
        <v>250</v>
      </c>
      <c r="H2704" s="682">
        <v>2730</v>
      </c>
      <c r="J2704" s="668" t="str">
        <f t="shared" si="470"/>
        <v>(5) Unemployment Compensation</v>
      </c>
      <c r="L2704" s="668">
        <v>93</v>
      </c>
      <c r="M2704" s="669">
        <v>88</v>
      </c>
      <c r="N2704" s="668"/>
      <c r="O2704" s="668">
        <v>19</v>
      </c>
      <c r="P2704" s="668" t="str">
        <f>IFERROR(VLOOKUP(F2704, [2]MOE!B:C, 2, FALSE), "No")</f>
        <v>YES</v>
      </c>
      <c r="Q2704" s="711" t="s">
        <v>1004</v>
      </c>
      <c r="S2704" s="670" t="s">
        <v>3588</v>
      </c>
      <c r="T2704" s="668" t="s">
        <v>1081</v>
      </c>
    </row>
    <row r="2705" spans="1:20">
      <c r="A2705" s="679">
        <v>2602730</v>
      </c>
      <c r="B2705" s="672"/>
      <c r="C2705" s="672"/>
      <c r="D2705" s="672"/>
      <c r="E2705" s="676" t="s">
        <v>1175</v>
      </c>
      <c r="F2705" s="680" t="s">
        <v>3622</v>
      </c>
      <c r="G2705" s="710">
        <v>260</v>
      </c>
      <c r="H2705" s="682">
        <v>2730</v>
      </c>
      <c r="J2705" s="668" t="str">
        <f t="shared" si="470"/>
        <v>(6) Workmen's Compensation</v>
      </c>
      <c r="L2705" s="668">
        <v>95</v>
      </c>
      <c r="M2705" s="669">
        <v>90</v>
      </c>
      <c r="N2705" s="668"/>
      <c r="O2705" s="668">
        <v>19</v>
      </c>
      <c r="P2705" s="668" t="str">
        <f>IFERROR(VLOOKUP(F2705, [2]MOE!B:C, 2, FALSE), "No")</f>
        <v>YES</v>
      </c>
      <c r="Q2705" s="711" t="s">
        <v>1004</v>
      </c>
      <c r="S2705" s="670" t="s">
        <v>3588</v>
      </c>
      <c r="T2705" s="668" t="s">
        <v>1083</v>
      </c>
    </row>
    <row r="2706" spans="1:20">
      <c r="A2706" s="679">
        <v>2702730</v>
      </c>
      <c r="B2706" s="672"/>
      <c r="C2706" s="672"/>
      <c r="D2706" s="672"/>
      <c r="E2706" s="676" t="s">
        <v>1177</v>
      </c>
      <c r="F2706" s="680" t="s">
        <v>3623</v>
      </c>
      <c r="G2706" s="710">
        <v>270</v>
      </c>
      <c r="H2706" s="682">
        <v>2730</v>
      </c>
      <c r="J2706" s="668" t="str">
        <f t="shared" si="470"/>
        <v>(7) Health Benefits (retirees)</v>
      </c>
      <c r="L2706" s="668">
        <v>94</v>
      </c>
      <c r="M2706" s="669">
        <v>89</v>
      </c>
      <c r="N2706" s="668"/>
      <c r="O2706" s="668">
        <v>19</v>
      </c>
      <c r="P2706" s="668" t="str">
        <f>IFERROR(VLOOKUP(F2706, [2]MOE!B:C, 2, FALSE), "No")</f>
        <v>YES</v>
      </c>
      <c r="Q2706" s="711" t="s">
        <v>1004</v>
      </c>
      <c r="S2706" s="670" t="s">
        <v>3588</v>
      </c>
      <c r="T2706" s="668" t="s">
        <v>1085</v>
      </c>
    </row>
    <row r="2707" spans="1:20">
      <c r="A2707" s="679">
        <v>2812730</v>
      </c>
      <c r="B2707" s="672"/>
      <c r="C2707" s="672"/>
      <c r="D2707" s="672"/>
      <c r="E2707" s="676" t="s">
        <v>1179</v>
      </c>
      <c r="F2707" s="680" t="s">
        <v>3624</v>
      </c>
      <c r="G2707" s="710">
        <v>281</v>
      </c>
      <c r="H2707" s="682">
        <v>2730</v>
      </c>
      <c r="J2707" s="668" t="str">
        <f t="shared" si="470"/>
        <v>(8) Sick Leave Severance Pay</v>
      </c>
      <c r="L2707" s="668">
        <v>95</v>
      </c>
      <c r="M2707" s="669">
        <v>90</v>
      </c>
      <c r="N2707" s="668"/>
      <c r="O2707" s="668">
        <v>19</v>
      </c>
      <c r="P2707" s="668" t="str">
        <f>IFERROR(VLOOKUP(F2707, [2]MOE!B:C, 2, FALSE), "No")</f>
        <v>YES</v>
      </c>
      <c r="Q2707" s="711" t="s">
        <v>1004</v>
      </c>
      <c r="S2707" s="670" t="s">
        <v>3588</v>
      </c>
      <c r="T2707" s="668" t="s">
        <v>1087</v>
      </c>
    </row>
    <row r="2708" spans="1:20">
      <c r="A2708" s="679">
        <v>2822730</v>
      </c>
      <c r="B2708" s="672"/>
      <c r="C2708" s="672"/>
      <c r="D2708" s="672"/>
      <c r="E2708" s="676" t="s">
        <v>1181</v>
      </c>
      <c r="F2708" s="680" t="s">
        <v>3625</v>
      </c>
      <c r="G2708" s="710">
        <v>282</v>
      </c>
      <c r="H2708" s="682">
        <v>2730</v>
      </c>
      <c r="J2708" s="668" t="str">
        <f t="shared" si="470"/>
        <v>(9) Annual Leave Severance Pay</v>
      </c>
      <c r="L2708" s="668">
        <v>95</v>
      </c>
      <c r="M2708" s="669">
        <v>90</v>
      </c>
      <c r="N2708" s="668"/>
      <c r="O2708" s="668">
        <v>19</v>
      </c>
      <c r="P2708" s="668" t="str">
        <f>IFERROR(VLOOKUP(F2708, [2]MOE!B:C, 2, FALSE), "No")</f>
        <v>YES</v>
      </c>
      <c r="Q2708" s="711" t="s">
        <v>1004</v>
      </c>
      <c r="S2708" s="670" t="s">
        <v>3588</v>
      </c>
      <c r="T2708" s="668" t="s">
        <v>1089</v>
      </c>
    </row>
    <row r="2709" spans="1:20" ht="16" thickBot="1">
      <c r="A2709" s="679">
        <v>2902730</v>
      </c>
      <c r="B2709" s="716"/>
      <c r="C2709" s="672"/>
      <c r="D2709" s="672"/>
      <c r="E2709" s="676" t="s">
        <v>1183</v>
      </c>
      <c r="F2709" s="680" t="s">
        <v>3626</v>
      </c>
      <c r="G2709" s="710">
        <v>290</v>
      </c>
      <c r="H2709" s="682">
        <v>2730</v>
      </c>
      <c r="J2709" s="668" t="str">
        <f t="shared" si="470"/>
        <v>(10) Other Employee Benefits</v>
      </c>
      <c r="L2709" s="668">
        <v>95</v>
      </c>
      <c r="M2709" s="669">
        <v>90</v>
      </c>
      <c r="N2709" s="668"/>
      <c r="O2709" s="668">
        <v>19</v>
      </c>
      <c r="P2709" s="668" t="str">
        <f>IFERROR(VLOOKUP(F2709, [2]MOE!B:C, 2, FALSE), "No")</f>
        <v>YES</v>
      </c>
      <c r="Q2709" s="711" t="s">
        <v>1004</v>
      </c>
      <c r="S2709" s="670" t="s">
        <v>3588</v>
      </c>
      <c r="T2709" s="668" t="s">
        <v>1092</v>
      </c>
    </row>
    <row r="2710" spans="1:20" ht="16.5" thickTop="1" thickBot="1">
      <c r="A2710" s="671"/>
      <c r="B2710" s="663"/>
      <c r="C2710" s="929" t="s">
        <v>3627</v>
      </c>
      <c r="D2710" s="930"/>
      <c r="E2710" s="932"/>
      <c r="F2710" s="705" t="s">
        <v>633</v>
      </c>
      <c r="G2710" s="706"/>
      <c r="H2710" s="707"/>
      <c r="Q2710" s="711"/>
      <c r="S2710" s="670"/>
    </row>
    <row r="2711" spans="1:20" ht="16" thickTop="1">
      <c r="A2711" s="671"/>
      <c r="B2711" s="672"/>
      <c r="C2711" s="672"/>
      <c r="D2711" s="672"/>
      <c r="E2711" s="676"/>
      <c r="F2711" s="675"/>
      <c r="G2711" s="672"/>
      <c r="H2711" s="676"/>
      <c r="Q2711" s="711"/>
      <c r="S2711" s="670"/>
    </row>
    <row r="2712" spans="1:20">
      <c r="A2712" s="671"/>
      <c r="B2712" s="677" t="s">
        <v>3628</v>
      </c>
      <c r="C2712" s="921" t="s">
        <v>707</v>
      </c>
      <c r="D2712" s="795"/>
      <c r="E2712" s="926"/>
      <c r="F2712" s="675"/>
      <c r="G2712" s="672"/>
      <c r="H2712" s="676"/>
      <c r="Q2712" s="711"/>
      <c r="S2712" s="670"/>
    </row>
    <row r="2713" spans="1:20">
      <c r="A2713" s="671"/>
      <c r="B2713" s="672"/>
      <c r="C2713" s="678">
        <v>85</v>
      </c>
      <c r="D2713" s="925" t="s">
        <v>3629</v>
      </c>
      <c r="E2713" s="926"/>
      <c r="F2713" s="675"/>
      <c r="G2713" s="672"/>
      <c r="H2713" s="676"/>
      <c r="Q2713" s="711"/>
      <c r="S2713" s="670"/>
    </row>
    <row r="2714" spans="1:20">
      <c r="A2714" s="671"/>
      <c r="B2714" s="672"/>
      <c r="C2714" s="672"/>
      <c r="D2714" s="672" t="s">
        <v>759</v>
      </c>
      <c r="E2714" s="676" t="s">
        <v>244</v>
      </c>
      <c r="F2714" s="675"/>
      <c r="G2714" s="672"/>
      <c r="H2714" s="676"/>
      <c r="Q2714" s="711"/>
      <c r="S2714" s="670"/>
    </row>
    <row r="2715" spans="1:20">
      <c r="A2715" s="679">
        <v>1112810</v>
      </c>
      <c r="B2715" s="672"/>
      <c r="C2715" s="672"/>
      <c r="D2715" s="672"/>
      <c r="E2715" s="676" t="s">
        <v>1845</v>
      </c>
      <c r="F2715" s="680" t="s">
        <v>3630</v>
      </c>
      <c r="G2715" s="710">
        <v>111</v>
      </c>
      <c r="H2715" s="682">
        <v>2810</v>
      </c>
      <c r="J2715" s="668" t="str">
        <f t="shared" ref="J2715:J2718" si="471">E2715</f>
        <v>(1) Supervisors</v>
      </c>
      <c r="L2715" s="668">
        <v>81</v>
      </c>
      <c r="M2715" s="669">
        <v>76</v>
      </c>
      <c r="N2715" s="668"/>
      <c r="O2715" s="668">
        <v>20</v>
      </c>
      <c r="P2715" s="668" t="str">
        <f>IFERROR(VLOOKUP(F2715, [2]MOE!B:C, 2, FALSE), "No")</f>
        <v>No</v>
      </c>
      <c r="Q2715" s="711"/>
      <c r="S2715" s="670" t="s">
        <v>3629</v>
      </c>
      <c r="T2715" s="668" t="s">
        <v>1848</v>
      </c>
    </row>
    <row r="2716" spans="1:20">
      <c r="A2716" s="679">
        <v>1142810</v>
      </c>
      <c r="B2716" s="672"/>
      <c r="C2716" s="672"/>
      <c r="D2716" s="672"/>
      <c r="E2716" s="676" t="s">
        <v>3197</v>
      </c>
      <c r="F2716" s="680" t="s">
        <v>3631</v>
      </c>
      <c r="G2716" s="710">
        <v>114</v>
      </c>
      <c r="H2716" s="682">
        <v>2810</v>
      </c>
      <c r="J2716" s="668" t="str">
        <f t="shared" si="471"/>
        <v>(2) Clerical/Secretarial</v>
      </c>
      <c r="L2716" s="668">
        <v>84</v>
      </c>
      <c r="M2716" s="669">
        <v>79</v>
      </c>
      <c r="N2716" s="668"/>
      <c r="O2716" s="668">
        <v>20</v>
      </c>
      <c r="P2716" s="668" t="str">
        <f>IFERROR(VLOOKUP(F2716, [2]MOE!B:C, 2, FALSE), "No")</f>
        <v>No</v>
      </c>
      <c r="Q2716" s="711"/>
      <c r="S2716" s="670" t="s">
        <v>3629</v>
      </c>
      <c r="T2716" s="668" t="s">
        <v>1854</v>
      </c>
    </row>
    <row r="2717" spans="1:20">
      <c r="A2717" s="679">
        <v>1002810</v>
      </c>
      <c r="B2717" s="672"/>
      <c r="C2717" s="672"/>
      <c r="D2717" s="672"/>
      <c r="E2717" s="676" t="s">
        <v>3632</v>
      </c>
      <c r="F2717" s="680" t="s">
        <v>3633</v>
      </c>
      <c r="G2717" s="710">
        <v>100</v>
      </c>
      <c r="H2717" s="682">
        <v>2810</v>
      </c>
      <c r="J2717" s="668" t="str">
        <f t="shared" si="471"/>
        <v>(3) Other Salaries - Plan, R&amp;D, and Eval</v>
      </c>
      <c r="L2717" s="668">
        <v>86</v>
      </c>
      <c r="M2717" s="669">
        <v>81</v>
      </c>
      <c r="N2717" s="668"/>
      <c r="O2717" s="668">
        <v>20</v>
      </c>
      <c r="P2717" s="668" t="str">
        <f>IFERROR(VLOOKUP(F2717, [2]MOE!B:C, 2, FALSE), "No")</f>
        <v>No</v>
      </c>
      <c r="Q2717" s="711"/>
      <c r="S2717" s="670" t="s">
        <v>3629</v>
      </c>
      <c r="T2717" s="668" t="s">
        <v>3634</v>
      </c>
    </row>
    <row r="2718" spans="1:20">
      <c r="A2718" s="679">
        <v>3002810</v>
      </c>
      <c r="B2718" s="672"/>
      <c r="C2718" s="672"/>
      <c r="D2718" s="672" t="s">
        <v>777</v>
      </c>
      <c r="E2718" s="676" t="s">
        <v>1113</v>
      </c>
      <c r="F2718" s="680" t="s">
        <v>3635</v>
      </c>
      <c r="G2718" s="710">
        <v>300</v>
      </c>
      <c r="H2718" s="682">
        <v>2810</v>
      </c>
      <c r="J2718" s="668" t="str">
        <f t="shared" si="471"/>
        <v>Purchased Professional and Technical Svcs</v>
      </c>
      <c r="L2718" s="668">
        <v>101</v>
      </c>
      <c r="M2718" s="669">
        <v>96</v>
      </c>
      <c r="N2718" s="668"/>
      <c r="O2718" s="668">
        <v>20</v>
      </c>
      <c r="P2718" s="668" t="str">
        <f>IFERROR(VLOOKUP(F2718, [2]MOE!B:C, 2, FALSE), "No")</f>
        <v>No</v>
      </c>
      <c r="Q2718" s="711"/>
      <c r="S2718" s="670" t="s">
        <v>3629</v>
      </c>
      <c r="T2718" s="668" t="s">
        <v>1113</v>
      </c>
    </row>
    <row r="2719" spans="1:20">
      <c r="A2719" s="671"/>
      <c r="B2719" s="672"/>
      <c r="C2719" s="672"/>
      <c r="D2719" s="672" t="s">
        <v>801</v>
      </c>
      <c r="E2719" s="676" t="s">
        <v>250</v>
      </c>
      <c r="F2719" s="675"/>
      <c r="G2719" s="672"/>
      <c r="H2719" s="676"/>
      <c r="Q2719" s="711"/>
      <c r="S2719" s="670"/>
    </row>
    <row r="2720" spans="1:20">
      <c r="A2720" s="679">
        <v>4302810</v>
      </c>
      <c r="B2720" s="672"/>
      <c r="C2720" s="672"/>
      <c r="D2720" s="672"/>
      <c r="E2720" s="676" t="s">
        <v>1115</v>
      </c>
      <c r="F2720" s="680" t="s">
        <v>3636</v>
      </c>
      <c r="G2720" s="710">
        <v>430</v>
      </c>
      <c r="H2720" s="682">
        <v>2810</v>
      </c>
      <c r="J2720" s="668" t="str">
        <f t="shared" ref="J2720:J2721" si="472">E2720</f>
        <v>(1) Repairs and Maintenance Services</v>
      </c>
      <c r="L2720" s="668">
        <v>107</v>
      </c>
      <c r="M2720" s="669">
        <v>102</v>
      </c>
      <c r="N2720" s="668"/>
      <c r="O2720" s="668">
        <v>20</v>
      </c>
      <c r="P2720" s="668" t="str">
        <f>IFERROR(VLOOKUP(F2720, [2]MOE!B:C, 2, FALSE), "No")</f>
        <v>No</v>
      </c>
      <c r="Q2720" s="711"/>
      <c r="S2720" s="670" t="s">
        <v>3629</v>
      </c>
      <c r="T2720" s="668" t="s">
        <v>1023</v>
      </c>
    </row>
    <row r="2721" spans="1:20">
      <c r="A2721" s="679">
        <v>4002810</v>
      </c>
      <c r="B2721" s="672"/>
      <c r="C2721" s="672"/>
      <c r="D2721" s="672"/>
      <c r="E2721" s="676" t="s">
        <v>3006</v>
      </c>
      <c r="F2721" s="680" t="s">
        <v>3637</v>
      </c>
      <c r="G2721" s="710">
        <v>400</v>
      </c>
      <c r="H2721" s="682">
        <v>2810</v>
      </c>
      <c r="J2721" s="668" t="str">
        <f t="shared" si="472"/>
        <v>(2) Other Purchased Property Services</v>
      </c>
      <c r="L2721" s="668">
        <v>108</v>
      </c>
      <c r="M2721" s="669">
        <v>103</v>
      </c>
      <c r="N2721" s="668"/>
      <c r="O2721" s="668">
        <v>20</v>
      </c>
      <c r="P2721" s="668" t="str">
        <f>IFERROR(VLOOKUP(F2721, [2]MOE!B:C, 2, FALSE), "No")</f>
        <v>No</v>
      </c>
      <c r="Q2721" s="711"/>
      <c r="S2721" s="670" t="s">
        <v>3629</v>
      </c>
      <c r="T2721" s="668" t="s">
        <v>1027</v>
      </c>
    </row>
    <row r="2722" spans="1:20">
      <c r="A2722" s="671"/>
      <c r="B2722" s="672"/>
      <c r="C2722" s="672"/>
      <c r="D2722" s="672" t="s">
        <v>805</v>
      </c>
      <c r="E2722" s="676" t="s">
        <v>252</v>
      </c>
      <c r="F2722" s="675"/>
      <c r="G2722" s="672"/>
      <c r="H2722" s="676"/>
      <c r="Q2722" s="711"/>
      <c r="S2722" s="670"/>
    </row>
    <row r="2723" spans="1:20">
      <c r="A2723" s="679">
        <v>5822810</v>
      </c>
      <c r="B2723" s="672"/>
      <c r="C2723" s="672"/>
      <c r="D2723" s="672"/>
      <c r="E2723" s="676" t="s">
        <v>1864</v>
      </c>
      <c r="F2723" s="680" t="s">
        <v>3638</v>
      </c>
      <c r="G2723" s="710">
        <v>582</v>
      </c>
      <c r="H2723" s="682">
        <v>2810</v>
      </c>
      <c r="J2723" s="668" t="str">
        <f t="shared" ref="J2723:J2724" si="473">E2723</f>
        <v>(1) Travel Expense Reimbursement</v>
      </c>
      <c r="L2723" s="668">
        <v>118</v>
      </c>
      <c r="M2723" s="669">
        <v>109</v>
      </c>
      <c r="N2723" s="668"/>
      <c r="O2723" s="668">
        <v>20</v>
      </c>
      <c r="P2723" s="668" t="str">
        <f>IFERROR(VLOOKUP(F2723, [2]MOE!B:C, 2, FALSE), "No")</f>
        <v>No</v>
      </c>
      <c r="Q2723" s="711"/>
      <c r="S2723" s="670" t="s">
        <v>3629</v>
      </c>
      <c r="T2723" s="668" t="s">
        <v>1039</v>
      </c>
    </row>
    <row r="2724" spans="1:20">
      <c r="A2724" s="679">
        <v>5002810</v>
      </c>
      <c r="B2724" s="672"/>
      <c r="C2724" s="672"/>
      <c r="D2724" s="672"/>
      <c r="E2724" s="676" t="s">
        <v>1866</v>
      </c>
      <c r="F2724" s="680" t="s">
        <v>3639</v>
      </c>
      <c r="G2724" s="710">
        <v>500</v>
      </c>
      <c r="H2724" s="682">
        <v>2810</v>
      </c>
      <c r="J2724" s="668" t="str">
        <f t="shared" si="473"/>
        <v>(2) Other Purchased Services</v>
      </c>
      <c r="L2724" s="668">
        <v>119</v>
      </c>
      <c r="M2724" s="669">
        <v>110</v>
      </c>
      <c r="N2724" s="668"/>
      <c r="O2724" s="668">
        <v>20</v>
      </c>
      <c r="P2724" s="668" t="str">
        <f>IFERROR(VLOOKUP(F2724, [2]MOE!B:C, 2, FALSE), "No")</f>
        <v>No</v>
      </c>
      <c r="Q2724" s="711"/>
      <c r="S2724" s="670" t="s">
        <v>3629</v>
      </c>
      <c r="T2724" s="668" t="s">
        <v>252</v>
      </c>
    </row>
    <row r="2725" spans="1:20">
      <c r="A2725" s="671"/>
      <c r="B2725" s="672"/>
      <c r="C2725" s="672"/>
      <c r="D2725" s="672" t="s">
        <v>850</v>
      </c>
      <c r="E2725" s="676" t="s">
        <v>254</v>
      </c>
      <c r="F2725" s="675"/>
      <c r="G2725" s="672"/>
      <c r="H2725" s="676"/>
      <c r="Q2725" s="711"/>
      <c r="S2725" s="670"/>
    </row>
    <row r="2726" spans="1:20">
      <c r="A2726" s="679">
        <v>6152810</v>
      </c>
      <c r="B2726" s="672"/>
      <c r="C2726" s="672"/>
      <c r="D2726" s="672"/>
      <c r="E2726" s="676" t="s">
        <v>1139</v>
      </c>
      <c r="F2726" s="680" t="s">
        <v>3640</v>
      </c>
      <c r="G2726" s="710">
        <v>615</v>
      </c>
      <c r="H2726" s="682">
        <v>2810</v>
      </c>
      <c r="J2726" s="668" t="str">
        <f t="shared" ref="J2726:J2728" si="474">E2726</f>
        <v>(1) Technology-Related Supplies</v>
      </c>
      <c r="L2726" s="668">
        <v>126</v>
      </c>
      <c r="M2726" s="669">
        <v>117</v>
      </c>
      <c r="N2726" s="668"/>
      <c r="O2726" s="668">
        <v>20</v>
      </c>
      <c r="P2726" s="668" t="str">
        <f>IFERROR(VLOOKUP(F2726, [2]MOE!B:C, 2, FALSE), "No")</f>
        <v>No</v>
      </c>
      <c r="Q2726" s="711" t="s">
        <v>1045</v>
      </c>
      <c r="S2726" s="670" t="s">
        <v>3629</v>
      </c>
      <c r="T2726" s="668" t="s">
        <v>1043</v>
      </c>
    </row>
    <row r="2727" spans="1:20">
      <c r="A2727" s="679">
        <v>6102810</v>
      </c>
      <c r="B2727" s="672"/>
      <c r="C2727" s="672"/>
      <c r="D2727" s="672"/>
      <c r="E2727" s="676" t="s">
        <v>1141</v>
      </c>
      <c r="F2727" s="680" t="s">
        <v>3641</v>
      </c>
      <c r="G2727" s="710">
        <v>610</v>
      </c>
      <c r="H2727" s="682">
        <v>2810</v>
      </c>
      <c r="J2727" s="668" t="str">
        <f t="shared" si="474"/>
        <v>(2) Materials and Supplies</v>
      </c>
      <c r="L2727" s="668">
        <v>122</v>
      </c>
      <c r="M2727" s="669">
        <v>113</v>
      </c>
      <c r="N2727" s="668"/>
      <c r="O2727" s="668">
        <v>20</v>
      </c>
      <c r="P2727" s="668" t="str">
        <f>IFERROR(VLOOKUP(F2727, [2]MOE!B:C, 2, FALSE), "No")</f>
        <v>No</v>
      </c>
      <c r="Q2727" s="711" t="s">
        <v>1045</v>
      </c>
      <c r="S2727" s="670" t="s">
        <v>3629</v>
      </c>
      <c r="T2727" s="668" t="s">
        <v>39</v>
      </c>
    </row>
    <row r="2728" spans="1:20">
      <c r="A2728" s="679">
        <v>6002810</v>
      </c>
      <c r="B2728" s="672"/>
      <c r="C2728" s="672"/>
      <c r="D2728" s="672"/>
      <c r="E2728" s="676" t="s">
        <v>1870</v>
      </c>
      <c r="F2728" s="680" t="s">
        <v>3642</v>
      </c>
      <c r="G2728" s="710">
        <v>600</v>
      </c>
      <c r="H2728" s="682">
        <v>2810</v>
      </c>
      <c r="J2728" s="668" t="str">
        <f t="shared" si="474"/>
        <v>(3) Other Supplies</v>
      </c>
      <c r="L2728" s="668">
        <v>126</v>
      </c>
      <c r="M2728" s="669">
        <v>117</v>
      </c>
      <c r="N2728" s="668"/>
      <c r="O2728" s="668">
        <v>20</v>
      </c>
      <c r="P2728" s="668" t="str">
        <f>IFERROR(VLOOKUP(F2728, [2]MOE!B:C, 2, FALSE), "No")</f>
        <v>No</v>
      </c>
      <c r="Q2728" s="711"/>
      <c r="S2728" s="670" t="s">
        <v>3629</v>
      </c>
      <c r="T2728" s="668" t="s">
        <v>1050</v>
      </c>
    </row>
    <row r="2729" spans="1:20">
      <c r="A2729" s="671"/>
      <c r="B2729" s="672"/>
      <c r="C2729" s="672"/>
      <c r="D2729" s="672" t="s">
        <v>853</v>
      </c>
      <c r="E2729" s="676" t="s">
        <v>1052</v>
      </c>
      <c r="F2729" s="675"/>
      <c r="G2729" s="672"/>
      <c r="H2729" s="676"/>
      <c r="Q2729" s="711"/>
      <c r="S2729" s="670"/>
    </row>
    <row r="2730" spans="1:20">
      <c r="A2730" s="679">
        <v>7342810</v>
      </c>
      <c r="B2730" s="672"/>
      <c r="C2730" s="672"/>
      <c r="D2730" s="672"/>
      <c r="E2730" s="676" t="s">
        <v>1147</v>
      </c>
      <c r="F2730" s="680" t="s">
        <v>3643</v>
      </c>
      <c r="G2730" s="710">
        <v>734</v>
      </c>
      <c r="H2730" s="682">
        <v>2810</v>
      </c>
      <c r="J2730" s="668" t="str">
        <f t="shared" ref="J2730:J2733" si="475">E2730</f>
        <v>(1) Technology-Related Hardware</v>
      </c>
      <c r="L2730" s="668">
        <v>131</v>
      </c>
      <c r="M2730" s="669">
        <v>122</v>
      </c>
      <c r="N2730" s="668"/>
      <c r="O2730" s="668">
        <v>20</v>
      </c>
      <c r="P2730" s="668" t="str">
        <f>IFERROR(VLOOKUP(F2730, [2]MOE!B:C, 2, FALSE), "No")</f>
        <v>No</v>
      </c>
      <c r="Q2730" s="711"/>
      <c r="S2730" s="670" t="s">
        <v>3629</v>
      </c>
      <c r="T2730" s="668" t="s">
        <v>1053</v>
      </c>
    </row>
    <row r="2731" spans="1:20">
      <c r="A2731" s="679">
        <v>7352810</v>
      </c>
      <c r="B2731" s="672"/>
      <c r="C2731" s="672"/>
      <c r="D2731" s="672"/>
      <c r="E2731" s="676" t="s">
        <v>1149</v>
      </c>
      <c r="F2731" s="680" t="s">
        <v>3644</v>
      </c>
      <c r="G2731" s="710">
        <v>735</v>
      </c>
      <c r="H2731" s="682">
        <v>2810</v>
      </c>
      <c r="J2731" s="668" t="str">
        <f t="shared" si="475"/>
        <v>(2) Technology Software</v>
      </c>
      <c r="L2731" s="668">
        <v>131</v>
      </c>
      <c r="M2731" s="669">
        <v>122</v>
      </c>
      <c r="N2731" s="668"/>
      <c r="O2731" s="668">
        <v>20</v>
      </c>
      <c r="P2731" s="668" t="str">
        <f>IFERROR(VLOOKUP(F2731, [2]MOE!B:C, 2, FALSE), "No")</f>
        <v>No</v>
      </c>
      <c r="Q2731" s="711"/>
      <c r="S2731" s="670" t="s">
        <v>3629</v>
      </c>
      <c r="T2731" s="668" t="s">
        <v>1055</v>
      </c>
    </row>
    <row r="2732" spans="1:20">
      <c r="A2732" s="679">
        <v>7302810</v>
      </c>
      <c r="B2732" s="672"/>
      <c r="C2732" s="672"/>
      <c r="D2732" s="672"/>
      <c r="E2732" s="676" t="s">
        <v>1151</v>
      </c>
      <c r="F2732" s="680" t="s">
        <v>3645</v>
      </c>
      <c r="G2732" s="710">
        <v>730</v>
      </c>
      <c r="H2732" s="682">
        <v>2810</v>
      </c>
      <c r="J2732" s="668" t="str">
        <f t="shared" si="475"/>
        <v>(3) All Other Equipment</v>
      </c>
      <c r="L2732" s="668">
        <v>131</v>
      </c>
      <c r="M2732" s="669">
        <v>122</v>
      </c>
      <c r="N2732" s="668"/>
      <c r="O2732" s="668">
        <v>20</v>
      </c>
      <c r="P2732" s="668" t="str">
        <f>IFERROR(VLOOKUP(F2732, [2]MOE!B:C, 2, FALSE), "No")</f>
        <v>No</v>
      </c>
      <c r="Q2732" s="711"/>
      <c r="S2732" s="670" t="s">
        <v>3629</v>
      </c>
      <c r="T2732" s="668" t="s">
        <v>1057</v>
      </c>
    </row>
    <row r="2733" spans="1:20">
      <c r="A2733" s="679">
        <v>7002810</v>
      </c>
      <c r="B2733" s="672"/>
      <c r="C2733" s="672"/>
      <c r="D2733" s="672"/>
      <c r="E2733" s="676" t="s">
        <v>1153</v>
      </c>
      <c r="F2733" s="680" t="s">
        <v>3646</v>
      </c>
      <c r="G2733" s="710">
        <v>700</v>
      </c>
      <c r="H2733" s="682">
        <v>2810</v>
      </c>
      <c r="J2733" s="668" t="str">
        <f t="shared" si="475"/>
        <v>(4) Other Property</v>
      </c>
      <c r="L2733" s="668">
        <v>132</v>
      </c>
      <c r="M2733" s="669">
        <v>123</v>
      </c>
      <c r="N2733" s="668"/>
      <c r="O2733" s="668">
        <v>20</v>
      </c>
      <c r="P2733" s="668" t="str">
        <f>IFERROR(VLOOKUP(F2733, [2]MOE!B:C, 2, FALSE), "No")</f>
        <v>No</v>
      </c>
      <c r="Q2733" s="711"/>
      <c r="S2733" s="670" t="s">
        <v>3629</v>
      </c>
      <c r="T2733" s="668" t="s">
        <v>1059</v>
      </c>
    </row>
    <row r="2734" spans="1:20">
      <c r="A2734" s="671"/>
      <c r="B2734" s="672"/>
      <c r="C2734" s="672"/>
      <c r="D2734" s="672" t="s">
        <v>856</v>
      </c>
      <c r="E2734" s="676" t="s">
        <v>256</v>
      </c>
      <c r="F2734" s="675"/>
      <c r="G2734" s="672"/>
      <c r="H2734" s="676"/>
      <c r="Q2734" s="711"/>
      <c r="S2734" s="670"/>
    </row>
    <row r="2735" spans="1:20">
      <c r="A2735" s="679">
        <v>8952810</v>
      </c>
      <c r="B2735" s="672"/>
      <c r="C2735" s="672"/>
      <c r="D2735" s="672"/>
      <c r="E2735" s="676" t="s">
        <v>1155</v>
      </c>
      <c r="F2735" s="680" t="s">
        <v>3647</v>
      </c>
      <c r="G2735" s="710">
        <v>895</v>
      </c>
      <c r="H2735" s="682">
        <v>2810</v>
      </c>
      <c r="J2735" s="668" t="str">
        <f t="shared" ref="J2735:J2736" si="476">E2735</f>
        <v>(1) Miscellaneous Non-Public Expenditures</v>
      </c>
      <c r="L2735" s="668">
        <v>139</v>
      </c>
      <c r="M2735" s="669">
        <v>129</v>
      </c>
      <c r="N2735" s="668"/>
      <c r="O2735" s="668">
        <v>20</v>
      </c>
      <c r="P2735" s="668" t="str">
        <f>IFERROR(VLOOKUP(F2735, [2]MOE!B:C, 2, FALSE), "No")</f>
        <v>No</v>
      </c>
      <c r="Q2735" s="711"/>
      <c r="S2735" s="670" t="s">
        <v>3629</v>
      </c>
      <c r="T2735" s="668" t="s">
        <v>1061</v>
      </c>
    </row>
    <row r="2736" spans="1:20">
      <c r="A2736" s="679">
        <v>8002810</v>
      </c>
      <c r="B2736" s="672"/>
      <c r="C2736" s="672"/>
      <c r="D2736" s="672"/>
      <c r="E2736" s="676" t="s">
        <v>1157</v>
      </c>
      <c r="F2736" s="680" t="s">
        <v>3648</v>
      </c>
      <c r="G2736" s="710">
        <v>800</v>
      </c>
      <c r="H2736" s="682">
        <v>2810</v>
      </c>
      <c r="J2736" s="668" t="str">
        <f t="shared" si="476"/>
        <v>(2) Other Miscellaneous Expenditures</v>
      </c>
      <c r="L2736" s="668">
        <v>139</v>
      </c>
      <c r="M2736" s="669">
        <v>129</v>
      </c>
      <c r="N2736" s="668"/>
      <c r="O2736" s="668">
        <v>20</v>
      </c>
      <c r="P2736" s="668" t="str">
        <f>IFERROR(VLOOKUP(F2736, [2]MOE!B:C, 2, FALSE), "No")</f>
        <v>No</v>
      </c>
      <c r="Q2736" s="711"/>
      <c r="S2736" s="670" t="s">
        <v>3629</v>
      </c>
      <c r="T2736" s="668" t="s">
        <v>1063</v>
      </c>
    </row>
    <row r="2737" spans="1:20">
      <c r="A2737" s="671"/>
      <c r="B2737" s="672"/>
      <c r="C2737" s="672"/>
      <c r="D2737" s="672" t="s">
        <v>859</v>
      </c>
      <c r="E2737" s="676" t="s">
        <v>3649</v>
      </c>
      <c r="F2737" s="675"/>
      <c r="G2737" s="672"/>
      <c r="H2737" s="676"/>
      <c r="Q2737" s="711"/>
      <c r="S2737" s="670"/>
    </row>
    <row r="2738" spans="1:20">
      <c r="A2738" s="679">
        <v>2102810</v>
      </c>
      <c r="B2738" s="672"/>
      <c r="C2738" s="672"/>
      <c r="D2738" s="672"/>
      <c r="E2738" s="676" t="s">
        <v>1159</v>
      </c>
      <c r="F2738" s="680" t="s">
        <v>3650</v>
      </c>
      <c r="G2738" s="710">
        <v>210</v>
      </c>
      <c r="H2738" s="682">
        <v>2810</v>
      </c>
      <c r="J2738" s="668" t="str">
        <f t="shared" ref="J2738:J2740" si="477">E2738</f>
        <v>(1) Group Insurance</v>
      </c>
      <c r="L2738" s="668">
        <v>89</v>
      </c>
      <c r="M2738" s="669">
        <v>84</v>
      </c>
      <c r="N2738" s="668"/>
      <c r="O2738" s="668">
        <v>20</v>
      </c>
      <c r="P2738" s="668" t="str">
        <f>IFERROR(VLOOKUP(F2738, [2]MOE!B:C, 2, FALSE), "No")</f>
        <v>No</v>
      </c>
      <c r="Q2738" s="711"/>
      <c r="S2738" s="670" t="s">
        <v>3629</v>
      </c>
      <c r="T2738" s="668" t="s">
        <v>1066</v>
      </c>
    </row>
    <row r="2739" spans="1:20">
      <c r="A2739" s="679">
        <v>2202810</v>
      </c>
      <c r="B2739" s="672"/>
      <c r="C2739" s="672"/>
      <c r="D2739" s="672"/>
      <c r="E2739" s="676" t="s">
        <v>1161</v>
      </c>
      <c r="F2739" s="680" t="s">
        <v>3651</v>
      </c>
      <c r="G2739" s="710">
        <v>220</v>
      </c>
      <c r="H2739" s="682">
        <v>2810</v>
      </c>
      <c r="J2739" s="668" t="str">
        <f t="shared" si="477"/>
        <v>(2) FICA</v>
      </c>
      <c r="L2739" s="668">
        <v>90</v>
      </c>
      <c r="M2739" s="669">
        <v>85</v>
      </c>
      <c r="N2739" s="668"/>
      <c r="O2739" s="668">
        <v>20</v>
      </c>
      <c r="P2739" s="668" t="str">
        <f>IFERROR(VLOOKUP(F2739, [2]MOE!B:C, 2, FALSE), "No")</f>
        <v>No</v>
      </c>
      <c r="Q2739" s="711"/>
      <c r="S2739" s="670" t="s">
        <v>3629</v>
      </c>
      <c r="T2739" s="668" t="s">
        <v>1068</v>
      </c>
    </row>
    <row r="2740" spans="1:20">
      <c r="A2740" s="679">
        <v>2252810</v>
      </c>
      <c r="B2740" s="672"/>
      <c r="C2740" s="672"/>
      <c r="D2740" s="672"/>
      <c r="E2740" s="676" t="s">
        <v>1163</v>
      </c>
      <c r="F2740" s="680" t="s">
        <v>3652</v>
      </c>
      <c r="G2740" s="710">
        <v>225</v>
      </c>
      <c r="H2740" s="682">
        <v>2810</v>
      </c>
      <c r="J2740" s="668" t="str">
        <f t="shared" si="477"/>
        <v>(3) Medicare</v>
      </c>
      <c r="L2740" s="668">
        <v>91</v>
      </c>
      <c r="M2740" s="669">
        <v>86</v>
      </c>
      <c r="N2740" s="668"/>
      <c r="O2740" s="668">
        <v>20</v>
      </c>
      <c r="P2740" s="668" t="str">
        <f>IFERROR(VLOOKUP(F2740, [2]MOE!B:C, 2, FALSE), "No")</f>
        <v>No</v>
      </c>
      <c r="Q2740" s="711"/>
      <c r="S2740" s="670" t="s">
        <v>3629</v>
      </c>
      <c r="T2740" s="668" t="s">
        <v>23</v>
      </c>
    </row>
    <row r="2741" spans="1:20">
      <c r="A2741" s="671"/>
      <c r="B2741" s="672"/>
      <c r="C2741" s="672"/>
      <c r="D2741" s="672"/>
      <c r="E2741" s="676" t="s">
        <v>1165</v>
      </c>
      <c r="F2741" s="675"/>
      <c r="G2741" s="672"/>
      <c r="H2741" s="676"/>
      <c r="Q2741" s="711"/>
      <c r="S2741" s="670"/>
    </row>
    <row r="2742" spans="1:20">
      <c r="A2742" s="679">
        <v>2312810</v>
      </c>
      <c r="B2742" s="672"/>
      <c r="C2742" s="672"/>
      <c r="D2742" s="672"/>
      <c r="E2742" s="676" t="s">
        <v>1166</v>
      </c>
      <c r="F2742" s="680" t="s">
        <v>3653</v>
      </c>
      <c r="G2742" s="710">
        <v>231</v>
      </c>
      <c r="H2742" s="682">
        <v>2810</v>
      </c>
      <c r="J2742" s="668" t="str">
        <f t="shared" ref="J2742:J2750" si="478">E2742</f>
        <v>(a) Louisiana Teachers Retirement</v>
      </c>
      <c r="L2742" s="668">
        <v>92</v>
      </c>
      <c r="M2742" s="669">
        <v>87</v>
      </c>
      <c r="N2742" s="668"/>
      <c r="O2742" s="668">
        <v>20</v>
      </c>
      <c r="P2742" s="668" t="str">
        <f>IFERROR(VLOOKUP(F2742, [2]MOE!B:C, 2, FALSE), "No")</f>
        <v>No</v>
      </c>
      <c r="Q2742" s="711"/>
      <c r="S2742" s="670" t="s">
        <v>3629</v>
      </c>
      <c r="T2742" s="668" t="s">
        <v>1074</v>
      </c>
    </row>
    <row r="2743" spans="1:20">
      <c r="A2743" s="679">
        <v>2332810</v>
      </c>
      <c r="B2743" s="672"/>
      <c r="C2743" s="672"/>
      <c r="D2743" s="672"/>
      <c r="E2743" s="676" t="s">
        <v>1168</v>
      </c>
      <c r="F2743" s="680" t="s">
        <v>3654</v>
      </c>
      <c r="G2743" s="710">
        <v>233</v>
      </c>
      <c r="H2743" s="682">
        <v>2810</v>
      </c>
      <c r="J2743" s="668" t="str">
        <f t="shared" si="478"/>
        <v>(b) Louisiana School Emp. Retirement</v>
      </c>
      <c r="L2743" s="668">
        <v>92</v>
      </c>
      <c r="M2743" s="669">
        <v>87</v>
      </c>
      <c r="N2743" s="668"/>
      <c r="O2743" s="668">
        <v>20</v>
      </c>
      <c r="P2743" s="668" t="str">
        <f>IFERROR(VLOOKUP(F2743, [2]MOE!B:C, 2, FALSE), "No")</f>
        <v>No</v>
      </c>
      <c r="Q2743" s="711"/>
      <c r="S2743" s="670" t="s">
        <v>3629</v>
      </c>
      <c r="T2743" s="668" t="s">
        <v>1170</v>
      </c>
    </row>
    <row r="2744" spans="1:20">
      <c r="A2744" s="679">
        <v>2392810</v>
      </c>
      <c r="B2744" s="672"/>
      <c r="C2744" s="672"/>
      <c r="D2744" s="672"/>
      <c r="E2744" s="676" t="s">
        <v>1171</v>
      </c>
      <c r="F2744" s="680" t="s">
        <v>3655</v>
      </c>
      <c r="G2744" s="710">
        <v>239</v>
      </c>
      <c r="H2744" s="682">
        <v>2810</v>
      </c>
      <c r="J2744" s="668" t="str">
        <f t="shared" si="478"/>
        <v>(c) Other Retirement</v>
      </c>
      <c r="L2744" s="668">
        <v>92</v>
      </c>
      <c r="M2744" s="669">
        <v>87</v>
      </c>
      <c r="N2744" s="668"/>
      <c r="O2744" s="668">
        <v>20</v>
      </c>
      <c r="P2744" s="668" t="str">
        <f>IFERROR(VLOOKUP(F2744, [2]MOE!B:C, 2, FALSE), "No")</f>
        <v>No</v>
      </c>
      <c r="Q2744" s="711"/>
      <c r="S2744" s="670" t="s">
        <v>3629</v>
      </c>
      <c r="T2744" s="668" t="s">
        <v>1080</v>
      </c>
    </row>
    <row r="2745" spans="1:20">
      <c r="A2745" s="679">
        <v>2502810</v>
      </c>
      <c r="B2745" s="672"/>
      <c r="C2745" s="672"/>
      <c r="D2745" s="672"/>
      <c r="E2745" s="676" t="s">
        <v>1173</v>
      </c>
      <c r="F2745" s="680" t="s">
        <v>3656</v>
      </c>
      <c r="G2745" s="710">
        <v>250</v>
      </c>
      <c r="H2745" s="682">
        <v>2810</v>
      </c>
      <c r="J2745" s="668" t="str">
        <f t="shared" si="478"/>
        <v>(5) Unemployment Compensation</v>
      </c>
      <c r="L2745" s="668">
        <v>93</v>
      </c>
      <c r="M2745" s="669">
        <v>88</v>
      </c>
      <c r="N2745" s="668"/>
      <c r="O2745" s="668">
        <v>20</v>
      </c>
      <c r="P2745" s="668" t="str">
        <f>IFERROR(VLOOKUP(F2745, [2]MOE!B:C, 2, FALSE), "No")</f>
        <v>No</v>
      </c>
      <c r="Q2745" s="711"/>
      <c r="S2745" s="670" t="s">
        <v>3629</v>
      </c>
      <c r="T2745" s="668" t="s">
        <v>1081</v>
      </c>
    </row>
    <row r="2746" spans="1:20">
      <c r="A2746" s="679">
        <v>2602810</v>
      </c>
      <c r="B2746" s="672"/>
      <c r="C2746" s="672"/>
      <c r="D2746" s="672"/>
      <c r="E2746" s="676" t="s">
        <v>1175</v>
      </c>
      <c r="F2746" s="680" t="s">
        <v>3657</v>
      </c>
      <c r="G2746" s="710">
        <v>260</v>
      </c>
      <c r="H2746" s="682">
        <v>2810</v>
      </c>
      <c r="J2746" s="668" t="str">
        <f t="shared" si="478"/>
        <v>(6) Workmen's Compensation</v>
      </c>
      <c r="L2746" s="668">
        <v>95</v>
      </c>
      <c r="M2746" s="669">
        <v>90</v>
      </c>
      <c r="N2746" s="668"/>
      <c r="O2746" s="668">
        <v>20</v>
      </c>
      <c r="P2746" s="668" t="str">
        <f>IFERROR(VLOOKUP(F2746, [2]MOE!B:C, 2, FALSE), "No")</f>
        <v>No</v>
      </c>
      <c r="Q2746" s="711"/>
      <c r="S2746" s="670" t="s">
        <v>3629</v>
      </c>
      <c r="T2746" s="668" t="s">
        <v>1083</v>
      </c>
    </row>
    <row r="2747" spans="1:20">
      <c r="A2747" s="679">
        <v>2702810</v>
      </c>
      <c r="B2747" s="672"/>
      <c r="C2747" s="672"/>
      <c r="D2747" s="672"/>
      <c r="E2747" s="676" t="s">
        <v>1177</v>
      </c>
      <c r="F2747" s="680" t="s">
        <v>3658</v>
      </c>
      <c r="G2747" s="710">
        <v>270</v>
      </c>
      <c r="H2747" s="682">
        <v>2810</v>
      </c>
      <c r="J2747" s="668" t="str">
        <f t="shared" si="478"/>
        <v>(7) Health Benefits (retirees)</v>
      </c>
      <c r="L2747" s="668">
        <v>94</v>
      </c>
      <c r="M2747" s="669">
        <v>89</v>
      </c>
      <c r="N2747" s="668"/>
      <c r="O2747" s="668">
        <v>20</v>
      </c>
      <c r="P2747" s="668" t="str">
        <f>IFERROR(VLOOKUP(F2747, [2]MOE!B:C, 2, FALSE), "No")</f>
        <v>No</v>
      </c>
      <c r="Q2747" s="711"/>
      <c r="S2747" s="670" t="s">
        <v>3629</v>
      </c>
      <c r="T2747" s="668" t="s">
        <v>1085</v>
      </c>
    </row>
    <row r="2748" spans="1:20">
      <c r="A2748" s="679">
        <v>2812810</v>
      </c>
      <c r="B2748" s="672"/>
      <c r="C2748" s="672"/>
      <c r="D2748" s="672"/>
      <c r="E2748" s="676" t="s">
        <v>1179</v>
      </c>
      <c r="F2748" s="680" t="s">
        <v>3659</v>
      </c>
      <c r="G2748" s="710">
        <v>281</v>
      </c>
      <c r="H2748" s="682">
        <v>2810</v>
      </c>
      <c r="J2748" s="668" t="str">
        <f t="shared" si="478"/>
        <v>(8) Sick Leave Severance Pay</v>
      </c>
      <c r="L2748" s="668">
        <v>95</v>
      </c>
      <c r="M2748" s="669">
        <v>90</v>
      </c>
      <c r="N2748" s="668"/>
      <c r="O2748" s="668">
        <v>20</v>
      </c>
      <c r="P2748" s="668" t="str">
        <f>IFERROR(VLOOKUP(F2748, [2]MOE!B:C, 2, FALSE), "No")</f>
        <v>No</v>
      </c>
      <c r="Q2748" s="711"/>
      <c r="S2748" s="670" t="s">
        <v>3629</v>
      </c>
      <c r="T2748" s="668" t="s">
        <v>1087</v>
      </c>
    </row>
    <row r="2749" spans="1:20">
      <c r="A2749" s="679">
        <v>2822810</v>
      </c>
      <c r="B2749" s="672"/>
      <c r="C2749" s="672"/>
      <c r="D2749" s="672"/>
      <c r="E2749" s="676" t="s">
        <v>1181</v>
      </c>
      <c r="F2749" s="680" t="s">
        <v>3660</v>
      </c>
      <c r="G2749" s="710">
        <v>282</v>
      </c>
      <c r="H2749" s="682">
        <v>2810</v>
      </c>
      <c r="J2749" s="668" t="str">
        <f t="shared" si="478"/>
        <v>(9) Annual Leave Severance Pay</v>
      </c>
      <c r="L2749" s="668">
        <v>95</v>
      </c>
      <c r="M2749" s="669">
        <v>90</v>
      </c>
      <c r="N2749" s="668"/>
      <c r="O2749" s="668">
        <v>20</v>
      </c>
      <c r="P2749" s="668" t="str">
        <f>IFERROR(VLOOKUP(F2749, [2]MOE!B:C, 2, FALSE), "No")</f>
        <v>No</v>
      </c>
      <c r="Q2749" s="711"/>
      <c r="S2749" s="670" t="s">
        <v>3629</v>
      </c>
      <c r="T2749" s="668" t="s">
        <v>1089</v>
      </c>
    </row>
    <row r="2750" spans="1:20">
      <c r="A2750" s="679">
        <v>2902810</v>
      </c>
      <c r="B2750" s="672"/>
      <c r="C2750" s="672"/>
      <c r="D2750" s="672"/>
      <c r="E2750" s="676" t="s">
        <v>1183</v>
      </c>
      <c r="F2750" s="680" t="s">
        <v>3661</v>
      </c>
      <c r="G2750" s="710">
        <v>290</v>
      </c>
      <c r="H2750" s="682">
        <v>2810</v>
      </c>
      <c r="J2750" s="668" t="str">
        <f t="shared" si="478"/>
        <v>(10) Other Employee Benefits</v>
      </c>
      <c r="L2750" s="668">
        <v>95</v>
      </c>
      <c r="M2750" s="669">
        <v>90</v>
      </c>
      <c r="N2750" s="668"/>
      <c r="O2750" s="668">
        <v>20</v>
      </c>
      <c r="P2750" s="668" t="str">
        <f>IFERROR(VLOOKUP(F2750, [2]MOE!B:C, 2, FALSE), "No")</f>
        <v>No</v>
      </c>
      <c r="Q2750" s="711"/>
      <c r="S2750" s="670" t="s">
        <v>3629</v>
      </c>
      <c r="T2750" s="668" t="s">
        <v>1092</v>
      </c>
    </row>
    <row r="2751" spans="1:20">
      <c r="A2751" s="671"/>
      <c r="B2751" s="672"/>
      <c r="C2751" s="678">
        <v>86</v>
      </c>
      <c r="D2751" s="925" t="s">
        <v>3662</v>
      </c>
      <c r="E2751" s="926"/>
      <c r="F2751" s="675"/>
      <c r="G2751" s="672"/>
      <c r="H2751" s="676"/>
      <c r="Q2751" s="711"/>
      <c r="S2751" s="670"/>
    </row>
    <row r="2752" spans="1:20">
      <c r="A2752" s="671"/>
      <c r="B2752" s="672"/>
      <c r="C2752" s="672"/>
      <c r="D2752" s="672" t="s">
        <v>759</v>
      </c>
      <c r="E2752" s="676" t="s">
        <v>244</v>
      </c>
      <c r="F2752" s="675"/>
      <c r="G2752" s="672"/>
      <c r="H2752" s="676"/>
      <c r="Q2752" s="711"/>
      <c r="S2752" s="670"/>
    </row>
    <row r="2753" spans="1:20">
      <c r="A2753" s="679">
        <v>1112820</v>
      </c>
      <c r="B2753" s="672"/>
      <c r="C2753" s="672"/>
      <c r="D2753" s="672"/>
      <c r="E2753" s="676" t="s">
        <v>1845</v>
      </c>
      <c r="F2753" s="680" t="s">
        <v>3663</v>
      </c>
      <c r="G2753" s="710">
        <v>111</v>
      </c>
      <c r="H2753" s="682">
        <v>2820</v>
      </c>
      <c r="J2753" s="668" t="str">
        <f t="shared" ref="J2753:J2756" si="479">E2753</f>
        <v>(1) Supervisors</v>
      </c>
      <c r="L2753" s="668">
        <v>81</v>
      </c>
      <c r="M2753" s="669">
        <v>76</v>
      </c>
      <c r="N2753" s="668"/>
      <c r="O2753" s="668">
        <v>20</v>
      </c>
      <c r="P2753" s="668" t="str">
        <f>IFERROR(VLOOKUP(F2753, [2]MOE!B:C, 2, FALSE), "No")</f>
        <v>No</v>
      </c>
      <c r="Q2753" s="711"/>
      <c r="S2753" s="670" t="s">
        <v>3662</v>
      </c>
      <c r="T2753" s="668" t="s">
        <v>1848</v>
      </c>
    </row>
    <row r="2754" spans="1:20">
      <c r="A2754" s="679">
        <v>1142820</v>
      </c>
      <c r="B2754" s="672"/>
      <c r="C2754" s="672"/>
      <c r="D2754" s="672"/>
      <c r="E2754" s="676" t="s">
        <v>3197</v>
      </c>
      <c r="F2754" s="680" t="s">
        <v>3664</v>
      </c>
      <c r="G2754" s="710">
        <v>114</v>
      </c>
      <c r="H2754" s="682">
        <v>2820</v>
      </c>
      <c r="J2754" s="668" t="str">
        <f t="shared" si="479"/>
        <v>(2) Clerical/Secretarial</v>
      </c>
      <c r="L2754" s="668">
        <v>84</v>
      </c>
      <c r="M2754" s="669">
        <v>79</v>
      </c>
      <c r="N2754" s="668"/>
      <c r="O2754" s="668">
        <v>20</v>
      </c>
      <c r="P2754" s="668" t="str">
        <f>IFERROR(VLOOKUP(F2754, [2]MOE!B:C, 2, FALSE), "No")</f>
        <v>No</v>
      </c>
      <c r="Q2754" s="711"/>
      <c r="S2754" s="670" t="s">
        <v>3662</v>
      </c>
      <c r="T2754" s="668" t="s">
        <v>1854</v>
      </c>
    </row>
    <row r="2755" spans="1:20">
      <c r="A2755" s="679">
        <v>1002820</v>
      </c>
      <c r="B2755" s="672"/>
      <c r="C2755" s="672"/>
      <c r="D2755" s="672"/>
      <c r="E2755" s="676" t="s">
        <v>3665</v>
      </c>
      <c r="F2755" s="680" t="s">
        <v>3666</v>
      </c>
      <c r="G2755" s="710">
        <v>100</v>
      </c>
      <c r="H2755" s="682">
        <v>2820</v>
      </c>
      <c r="J2755" s="668" t="str">
        <f t="shared" si="479"/>
        <v>(3) Other Salaries - Information Services</v>
      </c>
      <c r="L2755" s="668">
        <v>86</v>
      </c>
      <c r="M2755" s="669">
        <v>81</v>
      </c>
      <c r="N2755" s="668"/>
      <c r="O2755" s="668">
        <v>20</v>
      </c>
      <c r="P2755" s="668" t="str">
        <f>IFERROR(VLOOKUP(F2755, [2]MOE!B:C, 2, FALSE), "No")</f>
        <v>No</v>
      </c>
      <c r="Q2755" s="711"/>
      <c r="S2755" s="670" t="s">
        <v>3662</v>
      </c>
      <c r="T2755" s="668" t="s">
        <v>3667</v>
      </c>
    </row>
    <row r="2756" spans="1:20">
      <c r="A2756" s="679">
        <v>3002820</v>
      </c>
      <c r="B2756" s="672"/>
      <c r="C2756" s="672"/>
      <c r="D2756" s="672" t="s">
        <v>777</v>
      </c>
      <c r="E2756" s="676" t="s">
        <v>1113</v>
      </c>
      <c r="F2756" s="680" t="s">
        <v>3668</v>
      </c>
      <c r="G2756" s="710">
        <v>300</v>
      </c>
      <c r="H2756" s="682">
        <v>2820</v>
      </c>
      <c r="J2756" s="668" t="str">
        <f t="shared" si="479"/>
        <v>Purchased Professional and Technical Svcs</v>
      </c>
      <c r="L2756" s="668">
        <v>101</v>
      </c>
      <c r="M2756" s="669">
        <v>96</v>
      </c>
      <c r="N2756" s="668"/>
      <c r="O2756" s="668">
        <v>20</v>
      </c>
      <c r="P2756" s="668" t="str">
        <f>IFERROR(VLOOKUP(F2756, [2]MOE!B:C, 2, FALSE), "No")</f>
        <v>No</v>
      </c>
      <c r="Q2756" s="711"/>
      <c r="S2756" s="670" t="s">
        <v>3662</v>
      </c>
      <c r="T2756" s="668" t="s">
        <v>1113</v>
      </c>
    </row>
    <row r="2757" spans="1:20">
      <c r="A2757" s="671"/>
      <c r="B2757" s="672"/>
      <c r="C2757" s="672"/>
      <c r="D2757" s="672" t="s">
        <v>801</v>
      </c>
      <c r="E2757" s="676" t="s">
        <v>250</v>
      </c>
      <c r="F2757" s="675"/>
      <c r="G2757" s="672"/>
      <c r="H2757" s="676"/>
      <c r="Q2757" s="711"/>
      <c r="S2757" s="670"/>
    </row>
    <row r="2758" spans="1:20">
      <c r="A2758" s="679">
        <v>4302820</v>
      </c>
      <c r="B2758" s="672"/>
      <c r="C2758" s="672"/>
      <c r="D2758" s="672"/>
      <c r="E2758" s="676" t="s">
        <v>1115</v>
      </c>
      <c r="F2758" s="680" t="s">
        <v>3669</v>
      </c>
      <c r="G2758" s="710">
        <v>430</v>
      </c>
      <c r="H2758" s="682">
        <v>2820</v>
      </c>
      <c r="J2758" s="668" t="str">
        <f t="shared" ref="J2758:J2759" si="480">E2758</f>
        <v>(1) Repairs and Maintenance Services</v>
      </c>
      <c r="L2758" s="668">
        <v>107</v>
      </c>
      <c r="M2758" s="669">
        <v>102</v>
      </c>
      <c r="N2758" s="668"/>
      <c r="O2758" s="668">
        <v>20</v>
      </c>
      <c r="P2758" s="668" t="str">
        <f>IFERROR(VLOOKUP(F2758, [2]MOE!B:C, 2, FALSE), "No")</f>
        <v>No</v>
      </c>
      <c r="Q2758" s="711"/>
      <c r="S2758" s="670" t="s">
        <v>3662</v>
      </c>
      <c r="T2758" s="668" t="s">
        <v>1023</v>
      </c>
    </row>
    <row r="2759" spans="1:20">
      <c r="A2759" s="679">
        <v>4002820</v>
      </c>
      <c r="B2759" s="672"/>
      <c r="C2759" s="672"/>
      <c r="D2759" s="672"/>
      <c r="E2759" s="676" t="s">
        <v>3006</v>
      </c>
      <c r="F2759" s="680" t="s">
        <v>3670</v>
      </c>
      <c r="G2759" s="710">
        <v>400</v>
      </c>
      <c r="H2759" s="682">
        <v>2820</v>
      </c>
      <c r="J2759" s="668" t="str">
        <f t="shared" si="480"/>
        <v>(2) Other Purchased Property Services</v>
      </c>
      <c r="L2759" s="668">
        <v>108</v>
      </c>
      <c r="M2759" s="669">
        <v>103</v>
      </c>
      <c r="N2759" s="668"/>
      <c r="O2759" s="668">
        <v>20</v>
      </c>
      <c r="P2759" s="668" t="str">
        <f>IFERROR(VLOOKUP(F2759, [2]MOE!B:C, 2, FALSE), "No")</f>
        <v>No</v>
      </c>
      <c r="Q2759" s="711"/>
      <c r="S2759" s="670" t="s">
        <v>3662</v>
      </c>
      <c r="T2759" s="668" t="s">
        <v>1027</v>
      </c>
    </row>
    <row r="2760" spans="1:20">
      <c r="A2760" s="671"/>
      <c r="B2760" s="672"/>
      <c r="C2760" s="672"/>
      <c r="D2760" s="672" t="s">
        <v>805</v>
      </c>
      <c r="E2760" s="676" t="s">
        <v>252</v>
      </c>
      <c r="F2760" s="675"/>
      <c r="G2760" s="672"/>
      <c r="H2760" s="676"/>
      <c r="Q2760" s="711"/>
      <c r="S2760" s="670"/>
    </row>
    <row r="2761" spans="1:20">
      <c r="A2761" s="679">
        <v>5402820</v>
      </c>
      <c r="B2761" s="672"/>
      <c r="C2761" s="672"/>
      <c r="D2761" s="672"/>
      <c r="E2761" s="676" t="s">
        <v>3671</v>
      </c>
      <c r="F2761" s="680" t="s">
        <v>3672</v>
      </c>
      <c r="G2761" s="710">
        <v>540</v>
      </c>
      <c r="H2761" s="682">
        <v>2820</v>
      </c>
      <c r="J2761" s="668" t="str">
        <f t="shared" ref="J2761:J2763" si="481">E2761</f>
        <v>(1) Advertising and Public Notices</v>
      </c>
      <c r="L2761" s="668">
        <v>119</v>
      </c>
      <c r="M2761" s="669">
        <v>110</v>
      </c>
      <c r="N2761" s="668"/>
      <c r="O2761" s="668">
        <v>20</v>
      </c>
      <c r="P2761" s="668" t="str">
        <f>IFERROR(VLOOKUP(F2761, [2]MOE!B:C, 2, FALSE), "No")</f>
        <v>No</v>
      </c>
      <c r="Q2761" s="711"/>
      <c r="S2761" s="670" t="s">
        <v>3662</v>
      </c>
      <c r="T2761" s="668" t="s">
        <v>3216</v>
      </c>
    </row>
    <row r="2762" spans="1:20">
      <c r="A2762" s="679">
        <v>5822820</v>
      </c>
      <c r="B2762" s="672"/>
      <c r="C2762" s="672"/>
      <c r="D2762" s="672"/>
      <c r="E2762" s="676" t="s">
        <v>1135</v>
      </c>
      <c r="F2762" s="680" t="s">
        <v>3673</v>
      </c>
      <c r="G2762" s="710">
        <v>582</v>
      </c>
      <c r="H2762" s="682">
        <v>2820</v>
      </c>
      <c r="J2762" s="668" t="str">
        <f t="shared" si="481"/>
        <v>(2) Travel Expense Reimbursement</v>
      </c>
      <c r="L2762" s="668">
        <v>118</v>
      </c>
      <c r="M2762" s="669">
        <v>109</v>
      </c>
      <c r="N2762" s="668"/>
      <c r="O2762" s="668">
        <v>20</v>
      </c>
      <c r="P2762" s="668" t="str">
        <f>IFERROR(VLOOKUP(F2762, [2]MOE!B:C, 2, FALSE), "No")</f>
        <v>No</v>
      </c>
      <c r="Q2762" s="711"/>
      <c r="S2762" s="670" t="s">
        <v>3662</v>
      </c>
      <c r="T2762" s="668" t="s">
        <v>1039</v>
      </c>
    </row>
    <row r="2763" spans="1:20">
      <c r="A2763" s="679">
        <v>5002820</v>
      </c>
      <c r="B2763" s="672"/>
      <c r="C2763" s="672"/>
      <c r="D2763" s="672"/>
      <c r="E2763" s="676" t="s">
        <v>1137</v>
      </c>
      <c r="F2763" s="680" t="s">
        <v>3674</v>
      </c>
      <c r="G2763" s="710">
        <v>500</v>
      </c>
      <c r="H2763" s="682">
        <v>2820</v>
      </c>
      <c r="J2763" s="668" t="str">
        <f t="shared" si="481"/>
        <v>(3) Other Purchased Services</v>
      </c>
      <c r="L2763" s="668">
        <v>119</v>
      </c>
      <c r="M2763" s="669">
        <v>110</v>
      </c>
      <c r="N2763" s="668"/>
      <c r="O2763" s="668">
        <v>20</v>
      </c>
      <c r="P2763" s="668" t="str">
        <f>IFERROR(VLOOKUP(F2763, [2]MOE!B:C, 2, FALSE), "No")</f>
        <v>No</v>
      </c>
      <c r="Q2763" s="711"/>
      <c r="S2763" s="670" t="s">
        <v>3662</v>
      </c>
      <c r="T2763" s="668" t="s">
        <v>252</v>
      </c>
    </row>
    <row r="2764" spans="1:20">
      <c r="A2764" s="671"/>
      <c r="B2764" s="672"/>
      <c r="C2764" s="672"/>
      <c r="D2764" s="672" t="s">
        <v>850</v>
      </c>
      <c r="E2764" s="676" t="s">
        <v>254</v>
      </c>
      <c r="F2764" s="675"/>
      <c r="G2764" s="672"/>
      <c r="H2764" s="676"/>
      <c r="Q2764" s="711"/>
      <c r="S2764" s="670"/>
    </row>
    <row r="2765" spans="1:20">
      <c r="A2765" s="679">
        <v>6152820</v>
      </c>
      <c r="B2765" s="672"/>
      <c r="C2765" s="672"/>
      <c r="D2765" s="672"/>
      <c r="E2765" s="676" t="s">
        <v>1139</v>
      </c>
      <c r="F2765" s="680" t="s">
        <v>3675</v>
      </c>
      <c r="G2765" s="710">
        <v>615</v>
      </c>
      <c r="H2765" s="682">
        <v>2820</v>
      </c>
      <c r="J2765" s="668" t="str">
        <f t="shared" ref="J2765:J2767" si="482">E2765</f>
        <v>(1) Technology-Related Supplies</v>
      </c>
      <c r="L2765" s="668">
        <v>126</v>
      </c>
      <c r="M2765" s="669">
        <v>117</v>
      </c>
      <c r="N2765" s="668"/>
      <c r="O2765" s="668">
        <v>20</v>
      </c>
      <c r="P2765" s="668" t="str">
        <f>IFERROR(VLOOKUP(F2765, [2]MOE!B:C, 2, FALSE), "No")</f>
        <v>No</v>
      </c>
      <c r="Q2765" s="711" t="s">
        <v>1045</v>
      </c>
      <c r="S2765" s="670" t="s">
        <v>3662</v>
      </c>
      <c r="T2765" s="668" t="s">
        <v>1043</v>
      </c>
    </row>
    <row r="2766" spans="1:20">
      <c r="A2766" s="679">
        <v>6102820</v>
      </c>
      <c r="B2766" s="672"/>
      <c r="C2766" s="672"/>
      <c r="D2766" s="672"/>
      <c r="E2766" s="676" t="s">
        <v>1141</v>
      </c>
      <c r="F2766" s="680" t="s">
        <v>3676</v>
      </c>
      <c r="G2766" s="710">
        <v>610</v>
      </c>
      <c r="H2766" s="682">
        <v>2820</v>
      </c>
      <c r="J2766" s="668" t="str">
        <f t="shared" si="482"/>
        <v>(2) Materials and Supplies</v>
      </c>
      <c r="L2766" s="668">
        <v>122</v>
      </c>
      <c r="M2766" s="669">
        <v>113</v>
      </c>
      <c r="N2766" s="668"/>
      <c r="O2766" s="668">
        <v>20</v>
      </c>
      <c r="P2766" s="668" t="str">
        <f>IFERROR(VLOOKUP(F2766, [2]MOE!B:C, 2, FALSE), "No")</f>
        <v>No</v>
      </c>
      <c r="Q2766" s="711" t="s">
        <v>1045</v>
      </c>
      <c r="S2766" s="670" t="s">
        <v>3662</v>
      </c>
      <c r="T2766" s="668" t="s">
        <v>39</v>
      </c>
    </row>
    <row r="2767" spans="1:20">
      <c r="A2767" s="679">
        <v>6002820</v>
      </c>
      <c r="B2767" s="672"/>
      <c r="C2767" s="672"/>
      <c r="D2767" s="672"/>
      <c r="E2767" s="676" t="s">
        <v>1870</v>
      </c>
      <c r="F2767" s="680" t="s">
        <v>3677</v>
      </c>
      <c r="G2767" s="710">
        <v>600</v>
      </c>
      <c r="H2767" s="682">
        <v>2820</v>
      </c>
      <c r="J2767" s="668" t="str">
        <f t="shared" si="482"/>
        <v>(3) Other Supplies</v>
      </c>
      <c r="L2767" s="668">
        <v>126</v>
      </c>
      <c r="M2767" s="669">
        <v>117</v>
      </c>
      <c r="N2767" s="668"/>
      <c r="O2767" s="668">
        <v>20</v>
      </c>
      <c r="P2767" s="668" t="str">
        <f>IFERROR(VLOOKUP(F2767, [2]MOE!B:C, 2, FALSE), "No")</f>
        <v>No</v>
      </c>
      <c r="Q2767" s="711"/>
      <c r="S2767" s="670" t="s">
        <v>3662</v>
      </c>
      <c r="T2767" s="668" t="s">
        <v>1050</v>
      </c>
    </row>
    <row r="2768" spans="1:20">
      <c r="A2768" s="671"/>
      <c r="B2768" s="672"/>
      <c r="C2768" s="672"/>
      <c r="D2768" s="672" t="s">
        <v>853</v>
      </c>
      <c r="E2768" s="676" t="s">
        <v>1052</v>
      </c>
      <c r="F2768" s="675"/>
      <c r="G2768" s="672"/>
      <c r="H2768" s="676"/>
      <c r="Q2768" s="711"/>
      <c r="S2768" s="670"/>
    </row>
    <row r="2769" spans="1:20">
      <c r="A2769" s="679">
        <v>7342820</v>
      </c>
      <c r="B2769" s="672"/>
      <c r="C2769" s="672"/>
      <c r="D2769" s="672"/>
      <c r="E2769" s="676" t="s">
        <v>1147</v>
      </c>
      <c r="F2769" s="680" t="s">
        <v>3678</v>
      </c>
      <c r="G2769" s="710">
        <v>734</v>
      </c>
      <c r="H2769" s="682">
        <v>2820</v>
      </c>
      <c r="J2769" s="668" t="str">
        <f t="shared" ref="J2769:J2772" si="483">E2769</f>
        <v>(1) Technology-Related Hardware</v>
      </c>
      <c r="L2769" s="668">
        <v>131</v>
      </c>
      <c r="M2769" s="669">
        <v>122</v>
      </c>
      <c r="N2769" s="668"/>
      <c r="O2769" s="668">
        <v>20</v>
      </c>
      <c r="P2769" s="668" t="str">
        <f>IFERROR(VLOOKUP(F2769, [2]MOE!B:C, 2, FALSE), "No")</f>
        <v>No</v>
      </c>
      <c r="Q2769" s="711"/>
      <c r="S2769" s="670" t="s">
        <v>3662</v>
      </c>
      <c r="T2769" s="668" t="s">
        <v>1053</v>
      </c>
    </row>
    <row r="2770" spans="1:20">
      <c r="A2770" s="679">
        <v>7352820</v>
      </c>
      <c r="B2770" s="672"/>
      <c r="C2770" s="672"/>
      <c r="D2770" s="672"/>
      <c r="E2770" s="676" t="s">
        <v>1149</v>
      </c>
      <c r="F2770" s="680" t="s">
        <v>3679</v>
      </c>
      <c r="G2770" s="710">
        <v>735</v>
      </c>
      <c r="H2770" s="682">
        <v>2820</v>
      </c>
      <c r="J2770" s="668" t="str">
        <f t="shared" si="483"/>
        <v>(2) Technology Software</v>
      </c>
      <c r="L2770" s="668">
        <v>131</v>
      </c>
      <c r="M2770" s="669">
        <v>122</v>
      </c>
      <c r="N2770" s="668"/>
      <c r="O2770" s="668">
        <v>20</v>
      </c>
      <c r="P2770" s="668" t="str">
        <f>IFERROR(VLOOKUP(F2770, [2]MOE!B:C, 2, FALSE), "No")</f>
        <v>No</v>
      </c>
      <c r="Q2770" s="711"/>
      <c r="S2770" s="670" t="s">
        <v>3662</v>
      </c>
      <c r="T2770" s="668" t="s">
        <v>1055</v>
      </c>
    </row>
    <row r="2771" spans="1:20">
      <c r="A2771" s="679">
        <v>7302820</v>
      </c>
      <c r="B2771" s="672"/>
      <c r="C2771" s="672"/>
      <c r="D2771" s="672"/>
      <c r="E2771" s="676" t="s">
        <v>1151</v>
      </c>
      <c r="F2771" s="680" t="s">
        <v>3680</v>
      </c>
      <c r="G2771" s="710">
        <v>730</v>
      </c>
      <c r="H2771" s="682">
        <v>2820</v>
      </c>
      <c r="J2771" s="668" t="str">
        <f t="shared" si="483"/>
        <v>(3) All Other Equipment</v>
      </c>
      <c r="L2771" s="668">
        <v>131</v>
      </c>
      <c r="M2771" s="669">
        <v>122</v>
      </c>
      <c r="N2771" s="668"/>
      <c r="O2771" s="668">
        <v>20</v>
      </c>
      <c r="P2771" s="668" t="str">
        <f>IFERROR(VLOOKUP(F2771, [2]MOE!B:C, 2, FALSE), "No")</f>
        <v>No</v>
      </c>
      <c r="Q2771" s="711"/>
      <c r="S2771" s="670" t="s">
        <v>3662</v>
      </c>
      <c r="T2771" s="668" t="s">
        <v>1057</v>
      </c>
    </row>
    <row r="2772" spans="1:20">
      <c r="A2772" s="679">
        <v>7002820</v>
      </c>
      <c r="B2772" s="672"/>
      <c r="C2772" s="672"/>
      <c r="D2772" s="672"/>
      <c r="E2772" s="676" t="s">
        <v>1153</v>
      </c>
      <c r="F2772" s="680" t="s">
        <v>3681</v>
      </c>
      <c r="G2772" s="710">
        <v>700</v>
      </c>
      <c r="H2772" s="682">
        <v>2820</v>
      </c>
      <c r="J2772" s="668" t="str">
        <f t="shared" si="483"/>
        <v>(4) Other Property</v>
      </c>
      <c r="L2772" s="668">
        <v>132</v>
      </c>
      <c r="M2772" s="669">
        <v>123</v>
      </c>
      <c r="N2772" s="668"/>
      <c r="O2772" s="668">
        <v>20</v>
      </c>
      <c r="P2772" s="668" t="str">
        <f>IFERROR(VLOOKUP(F2772, [2]MOE!B:C, 2, FALSE), "No")</f>
        <v>No</v>
      </c>
      <c r="Q2772" s="711"/>
      <c r="S2772" s="670" t="s">
        <v>3662</v>
      </c>
      <c r="T2772" s="668" t="s">
        <v>1059</v>
      </c>
    </row>
    <row r="2773" spans="1:20">
      <c r="A2773" s="671"/>
      <c r="B2773" s="672"/>
      <c r="C2773" s="672"/>
      <c r="D2773" s="672" t="s">
        <v>856</v>
      </c>
      <c r="E2773" s="676" t="s">
        <v>256</v>
      </c>
      <c r="F2773" s="675"/>
      <c r="G2773" s="672"/>
      <c r="H2773" s="676"/>
      <c r="Q2773" s="711"/>
      <c r="S2773" s="670"/>
    </row>
    <row r="2774" spans="1:20">
      <c r="A2774" s="679">
        <v>8952820</v>
      </c>
      <c r="B2774" s="672"/>
      <c r="C2774" s="672"/>
      <c r="D2774" s="672"/>
      <c r="E2774" s="676" t="s">
        <v>1155</v>
      </c>
      <c r="F2774" s="680" t="s">
        <v>3682</v>
      </c>
      <c r="G2774" s="710">
        <v>895</v>
      </c>
      <c r="H2774" s="682">
        <v>2820</v>
      </c>
      <c r="J2774" s="668" t="str">
        <f t="shared" ref="J2774:J2775" si="484">E2774</f>
        <v>(1) Miscellaneous Non-Public Expenditures</v>
      </c>
      <c r="L2774" s="668">
        <v>139</v>
      </c>
      <c r="M2774" s="669">
        <v>129</v>
      </c>
      <c r="N2774" s="668"/>
      <c r="O2774" s="668">
        <v>20</v>
      </c>
      <c r="P2774" s="668" t="str">
        <f>IFERROR(VLOOKUP(F2774, [2]MOE!B:C, 2, FALSE), "No")</f>
        <v>No</v>
      </c>
      <c r="Q2774" s="711"/>
      <c r="S2774" s="670" t="s">
        <v>3662</v>
      </c>
      <c r="T2774" s="668" t="s">
        <v>1061</v>
      </c>
    </row>
    <row r="2775" spans="1:20">
      <c r="A2775" s="679">
        <v>8002820</v>
      </c>
      <c r="B2775" s="672"/>
      <c r="C2775" s="672"/>
      <c r="D2775" s="672"/>
      <c r="E2775" s="676" t="s">
        <v>1157</v>
      </c>
      <c r="F2775" s="680" t="s">
        <v>3683</v>
      </c>
      <c r="G2775" s="710">
        <v>800</v>
      </c>
      <c r="H2775" s="682">
        <v>2820</v>
      </c>
      <c r="J2775" s="668" t="str">
        <f t="shared" si="484"/>
        <v>(2) Other Miscellaneous Expenditures</v>
      </c>
      <c r="L2775" s="668">
        <v>139</v>
      </c>
      <c r="M2775" s="669">
        <v>129</v>
      </c>
      <c r="N2775" s="668"/>
      <c r="O2775" s="668">
        <v>20</v>
      </c>
      <c r="P2775" s="668" t="str">
        <f>IFERROR(VLOOKUP(F2775, [2]MOE!B:C, 2, FALSE), "No")</f>
        <v>No</v>
      </c>
      <c r="Q2775" s="711"/>
      <c r="S2775" s="670" t="s">
        <v>3662</v>
      </c>
      <c r="T2775" s="668" t="s">
        <v>1063</v>
      </c>
    </row>
    <row r="2776" spans="1:20">
      <c r="A2776" s="671"/>
      <c r="B2776" s="672"/>
      <c r="C2776" s="672"/>
      <c r="D2776" s="672" t="s">
        <v>859</v>
      </c>
      <c r="E2776" s="676" t="s">
        <v>3684</v>
      </c>
      <c r="F2776" s="675"/>
      <c r="G2776" s="672"/>
      <c r="H2776" s="676"/>
      <c r="Q2776" s="711"/>
      <c r="S2776" s="670"/>
    </row>
    <row r="2777" spans="1:20">
      <c r="A2777" s="679">
        <v>2102820</v>
      </c>
      <c r="B2777" s="672"/>
      <c r="C2777" s="672"/>
      <c r="D2777" s="672"/>
      <c r="E2777" s="676" t="s">
        <v>1159</v>
      </c>
      <c r="F2777" s="680" t="s">
        <v>3685</v>
      </c>
      <c r="G2777" s="710">
        <v>210</v>
      </c>
      <c r="H2777" s="682">
        <v>2820</v>
      </c>
      <c r="J2777" s="668" t="str">
        <f t="shared" ref="J2777:J2779" si="485">E2777</f>
        <v>(1) Group Insurance</v>
      </c>
      <c r="L2777" s="668">
        <v>89</v>
      </c>
      <c r="M2777" s="669">
        <v>84</v>
      </c>
      <c r="N2777" s="668"/>
      <c r="O2777" s="668">
        <v>20</v>
      </c>
      <c r="P2777" s="668" t="str">
        <f>IFERROR(VLOOKUP(F2777, [2]MOE!B:C, 2, FALSE), "No")</f>
        <v>No</v>
      </c>
      <c r="Q2777" s="711"/>
      <c r="S2777" s="670" t="s">
        <v>3662</v>
      </c>
      <c r="T2777" s="668" t="s">
        <v>1066</v>
      </c>
    </row>
    <row r="2778" spans="1:20">
      <c r="A2778" s="679">
        <v>2202820</v>
      </c>
      <c r="B2778" s="672"/>
      <c r="C2778" s="672"/>
      <c r="D2778" s="672"/>
      <c r="E2778" s="676" t="s">
        <v>1161</v>
      </c>
      <c r="F2778" s="680" t="s">
        <v>3686</v>
      </c>
      <c r="G2778" s="710">
        <v>220</v>
      </c>
      <c r="H2778" s="682">
        <v>2820</v>
      </c>
      <c r="J2778" s="668" t="str">
        <f t="shared" si="485"/>
        <v>(2) FICA</v>
      </c>
      <c r="L2778" s="668">
        <v>90</v>
      </c>
      <c r="M2778" s="669">
        <v>85</v>
      </c>
      <c r="N2778" s="668"/>
      <c r="O2778" s="668">
        <v>20</v>
      </c>
      <c r="P2778" s="668" t="str">
        <f>IFERROR(VLOOKUP(F2778, [2]MOE!B:C, 2, FALSE), "No")</f>
        <v>No</v>
      </c>
      <c r="Q2778" s="711"/>
      <c r="S2778" s="670" t="s">
        <v>3662</v>
      </c>
      <c r="T2778" s="668" t="s">
        <v>1068</v>
      </c>
    </row>
    <row r="2779" spans="1:20">
      <c r="A2779" s="679">
        <v>2252820</v>
      </c>
      <c r="B2779" s="672"/>
      <c r="C2779" s="672"/>
      <c r="D2779" s="672"/>
      <c r="E2779" s="676" t="s">
        <v>1163</v>
      </c>
      <c r="F2779" s="680" t="s">
        <v>3687</v>
      </c>
      <c r="G2779" s="710">
        <v>225</v>
      </c>
      <c r="H2779" s="682">
        <v>2820</v>
      </c>
      <c r="J2779" s="668" t="str">
        <f t="shared" si="485"/>
        <v>(3) Medicare</v>
      </c>
      <c r="L2779" s="668">
        <v>91</v>
      </c>
      <c r="M2779" s="669">
        <v>86</v>
      </c>
      <c r="N2779" s="668"/>
      <c r="O2779" s="668">
        <v>20</v>
      </c>
      <c r="P2779" s="668" t="str">
        <f>IFERROR(VLOOKUP(F2779, [2]MOE!B:C, 2, FALSE), "No")</f>
        <v>No</v>
      </c>
      <c r="Q2779" s="711"/>
      <c r="S2779" s="670" t="s">
        <v>3662</v>
      </c>
      <c r="T2779" s="668" t="s">
        <v>23</v>
      </c>
    </row>
    <row r="2780" spans="1:20">
      <c r="A2780" s="671"/>
      <c r="B2780" s="672"/>
      <c r="C2780" s="672"/>
      <c r="D2780" s="672"/>
      <c r="E2780" s="676" t="s">
        <v>1165</v>
      </c>
      <c r="F2780" s="675"/>
      <c r="G2780" s="672"/>
      <c r="H2780" s="676"/>
      <c r="Q2780" s="711"/>
      <c r="S2780" s="670"/>
    </row>
    <row r="2781" spans="1:20">
      <c r="A2781" s="679">
        <v>2312820</v>
      </c>
      <c r="B2781" s="672"/>
      <c r="C2781" s="672"/>
      <c r="D2781" s="672"/>
      <c r="E2781" s="676" t="s">
        <v>1166</v>
      </c>
      <c r="F2781" s="680" t="s">
        <v>3688</v>
      </c>
      <c r="G2781" s="710">
        <v>231</v>
      </c>
      <c r="H2781" s="682">
        <v>2820</v>
      </c>
      <c r="J2781" s="668" t="str">
        <f t="shared" ref="J2781:J2789" si="486">E2781</f>
        <v>(a) Louisiana Teachers Retirement</v>
      </c>
      <c r="L2781" s="668">
        <v>92</v>
      </c>
      <c r="M2781" s="669">
        <v>87</v>
      </c>
      <c r="N2781" s="668"/>
      <c r="O2781" s="668">
        <v>20</v>
      </c>
      <c r="P2781" s="668" t="str">
        <f>IFERROR(VLOOKUP(F2781, [2]MOE!B:C, 2, FALSE), "No")</f>
        <v>No</v>
      </c>
      <c r="Q2781" s="711"/>
      <c r="S2781" s="670" t="s">
        <v>3662</v>
      </c>
      <c r="T2781" s="668" t="s">
        <v>1074</v>
      </c>
    </row>
    <row r="2782" spans="1:20">
      <c r="A2782" s="679">
        <v>2332820</v>
      </c>
      <c r="B2782" s="672"/>
      <c r="C2782" s="672"/>
      <c r="D2782" s="672"/>
      <c r="E2782" s="676" t="s">
        <v>1168</v>
      </c>
      <c r="F2782" s="680" t="s">
        <v>3689</v>
      </c>
      <c r="G2782" s="710">
        <v>233</v>
      </c>
      <c r="H2782" s="682">
        <v>2820</v>
      </c>
      <c r="J2782" s="668" t="str">
        <f t="shared" si="486"/>
        <v>(b) Louisiana School Emp. Retirement</v>
      </c>
      <c r="L2782" s="668">
        <v>92</v>
      </c>
      <c r="M2782" s="669">
        <v>87</v>
      </c>
      <c r="N2782" s="668"/>
      <c r="O2782" s="668">
        <v>20</v>
      </c>
      <c r="P2782" s="668" t="str">
        <f>IFERROR(VLOOKUP(F2782, [2]MOE!B:C, 2, FALSE), "No")</f>
        <v>No</v>
      </c>
      <c r="Q2782" s="711"/>
      <c r="S2782" s="670" t="s">
        <v>3662</v>
      </c>
      <c r="T2782" s="668" t="s">
        <v>1170</v>
      </c>
    </row>
    <row r="2783" spans="1:20">
      <c r="A2783" s="679">
        <v>2392820</v>
      </c>
      <c r="B2783" s="672"/>
      <c r="C2783" s="672"/>
      <c r="D2783" s="672"/>
      <c r="E2783" s="676" t="s">
        <v>1171</v>
      </c>
      <c r="F2783" s="680" t="s">
        <v>3690</v>
      </c>
      <c r="G2783" s="710">
        <v>239</v>
      </c>
      <c r="H2783" s="682">
        <v>2820</v>
      </c>
      <c r="J2783" s="668" t="str">
        <f t="shared" si="486"/>
        <v>(c) Other Retirement</v>
      </c>
      <c r="L2783" s="668">
        <v>92</v>
      </c>
      <c r="M2783" s="669">
        <v>87</v>
      </c>
      <c r="N2783" s="668"/>
      <c r="O2783" s="668">
        <v>20</v>
      </c>
      <c r="P2783" s="668" t="str">
        <f>IFERROR(VLOOKUP(F2783, [2]MOE!B:C, 2, FALSE), "No")</f>
        <v>No</v>
      </c>
      <c r="Q2783" s="711"/>
      <c r="S2783" s="670" t="s">
        <v>3662</v>
      </c>
      <c r="T2783" s="668" t="s">
        <v>1080</v>
      </c>
    </row>
    <row r="2784" spans="1:20">
      <c r="A2784" s="679">
        <v>2502820</v>
      </c>
      <c r="B2784" s="672"/>
      <c r="C2784" s="672"/>
      <c r="D2784" s="672"/>
      <c r="E2784" s="676" t="s">
        <v>1173</v>
      </c>
      <c r="F2784" s="680" t="s">
        <v>3691</v>
      </c>
      <c r="G2784" s="710">
        <v>250</v>
      </c>
      <c r="H2784" s="682">
        <v>2820</v>
      </c>
      <c r="J2784" s="668" t="str">
        <f t="shared" si="486"/>
        <v>(5) Unemployment Compensation</v>
      </c>
      <c r="L2784" s="668">
        <v>93</v>
      </c>
      <c r="M2784" s="669">
        <v>88</v>
      </c>
      <c r="N2784" s="668"/>
      <c r="O2784" s="668">
        <v>20</v>
      </c>
      <c r="P2784" s="668" t="str">
        <f>IFERROR(VLOOKUP(F2784, [2]MOE!B:C, 2, FALSE), "No")</f>
        <v>No</v>
      </c>
      <c r="Q2784" s="711"/>
      <c r="S2784" s="670" t="s">
        <v>3662</v>
      </c>
      <c r="T2784" s="668" t="s">
        <v>1081</v>
      </c>
    </row>
    <row r="2785" spans="1:20">
      <c r="A2785" s="679">
        <v>2602820</v>
      </c>
      <c r="B2785" s="672"/>
      <c r="C2785" s="672"/>
      <c r="D2785" s="672"/>
      <c r="E2785" s="676" t="s">
        <v>1175</v>
      </c>
      <c r="F2785" s="680" t="s">
        <v>3692</v>
      </c>
      <c r="G2785" s="710">
        <v>260</v>
      </c>
      <c r="H2785" s="682">
        <v>2820</v>
      </c>
      <c r="J2785" s="668" t="str">
        <f t="shared" si="486"/>
        <v>(6) Workmen's Compensation</v>
      </c>
      <c r="L2785" s="668">
        <v>95</v>
      </c>
      <c r="M2785" s="669">
        <v>90</v>
      </c>
      <c r="N2785" s="668"/>
      <c r="O2785" s="668">
        <v>20</v>
      </c>
      <c r="P2785" s="668" t="str">
        <f>IFERROR(VLOOKUP(F2785, [2]MOE!B:C, 2, FALSE), "No")</f>
        <v>No</v>
      </c>
      <c r="Q2785" s="711"/>
      <c r="S2785" s="670" t="s">
        <v>3662</v>
      </c>
      <c r="T2785" s="668" t="s">
        <v>1083</v>
      </c>
    </row>
    <row r="2786" spans="1:20">
      <c r="A2786" s="679">
        <v>2702820</v>
      </c>
      <c r="B2786" s="672"/>
      <c r="C2786" s="672"/>
      <c r="D2786" s="672"/>
      <c r="E2786" s="676" t="s">
        <v>1177</v>
      </c>
      <c r="F2786" s="680" t="s">
        <v>3693</v>
      </c>
      <c r="G2786" s="710">
        <v>270</v>
      </c>
      <c r="H2786" s="682">
        <v>2820</v>
      </c>
      <c r="J2786" s="668" t="str">
        <f t="shared" si="486"/>
        <v>(7) Health Benefits (retirees)</v>
      </c>
      <c r="L2786" s="668">
        <v>94</v>
      </c>
      <c r="M2786" s="669">
        <v>89</v>
      </c>
      <c r="N2786" s="668"/>
      <c r="O2786" s="668">
        <v>20</v>
      </c>
      <c r="P2786" s="668" t="str">
        <f>IFERROR(VLOOKUP(F2786, [2]MOE!B:C, 2, FALSE), "No")</f>
        <v>No</v>
      </c>
      <c r="Q2786" s="711"/>
      <c r="S2786" s="670" t="s">
        <v>3662</v>
      </c>
      <c r="T2786" s="668" t="s">
        <v>1085</v>
      </c>
    </row>
    <row r="2787" spans="1:20">
      <c r="A2787" s="679">
        <v>2812820</v>
      </c>
      <c r="B2787" s="672"/>
      <c r="C2787" s="672"/>
      <c r="D2787" s="672"/>
      <c r="E2787" s="676" t="s">
        <v>1179</v>
      </c>
      <c r="F2787" s="680" t="s">
        <v>3694</v>
      </c>
      <c r="G2787" s="710">
        <v>281</v>
      </c>
      <c r="H2787" s="682">
        <v>2820</v>
      </c>
      <c r="J2787" s="668" t="str">
        <f t="shared" si="486"/>
        <v>(8) Sick Leave Severance Pay</v>
      </c>
      <c r="L2787" s="668">
        <v>95</v>
      </c>
      <c r="M2787" s="669">
        <v>90</v>
      </c>
      <c r="N2787" s="668"/>
      <c r="O2787" s="668">
        <v>20</v>
      </c>
      <c r="P2787" s="668" t="str">
        <f>IFERROR(VLOOKUP(F2787, [2]MOE!B:C, 2, FALSE), "No")</f>
        <v>No</v>
      </c>
      <c r="Q2787" s="711"/>
      <c r="S2787" s="670" t="s">
        <v>3662</v>
      </c>
      <c r="T2787" s="668" t="s">
        <v>1087</v>
      </c>
    </row>
    <row r="2788" spans="1:20">
      <c r="A2788" s="679">
        <v>2822820</v>
      </c>
      <c r="B2788" s="672"/>
      <c r="C2788" s="672"/>
      <c r="D2788" s="672"/>
      <c r="E2788" s="676" t="s">
        <v>1181</v>
      </c>
      <c r="F2788" s="680" t="s">
        <v>3695</v>
      </c>
      <c r="G2788" s="710">
        <v>282</v>
      </c>
      <c r="H2788" s="682">
        <v>2820</v>
      </c>
      <c r="J2788" s="668" t="str">
        <f t="shared" si="486"/>
        <v>(9) Annual Leave Severance Pay</v>
      </c>
      <c r="L2788" s="668">
        <v>95</v>
      </c>
      <c r="M2788" s="669">
        <v>90</v>
      </c>
      <c r="N2788" s="668"/>
      <c r="O2788" s="668">
        <v>20</v>
      </c>
      <c r="P2788" s="668" t="str">
        <f>IFERROR(VLOOKUP(F2788, [2]MOE!B:C, 2, FALSE), "No")</f>
        <v>No</v>
      </c>
      <c r="Q2788" s="711"/>
      <c r="S2788" s="670" t="s">
        <v>3662</v>
      </c>
      <c r="T2788" s="668" t="s">
        <v>1089</v>
      </c>
    </row>
    <row r="2789" spans="1:20">
      <c r="A2789" s="679">
        <v>2902820</v>
      </c>
      <c r="B2789" s="672"/>
      <c r="C2789" s="672"/>
      <c r="D2789" s="672"/>
      <c r="E2789" s="676" t="s">
        <v>1183</v>
      </c>
      <c r="F2789" s="680" t="s">
        <v>3696</v>
      </c>
      <c r="G2789" s="710">
        <v>290</v>
      </c>
      <c r="H2789" s="682">
        <v>2820</v>
      </c>
      <c r="J2789" s="668" t="str">
        <f t="shared" si="486"/>
        <v>(10) Other Employee Benefits</v>
      </c>
      <c r="L2789" s="668">
        <v>95</v>
      </c>
      <c r="M2789" s="669">
        <v>90</v>
      </c>
      <c r="N2789" s="668"/>
      <c r="O2789" s="668">
        <v>20</v>
      </c>
      <c r="P2789" s="668" t="str">
        <f>IFERROR(VLOOKUP(F2789, [2]MOE!B:C, 2, FALSE), "No")</f>
        <v>No</v>
      </c>
      <c r="Q2789" s="711"/>
      <c r="S2789" s="670" t="s">
        <v>3662</v>
      </c>
      <c r="T2789" s="668" t="s">
        <v>1092</v>
      </c>
    </row>
    <row r="2790" spans="1:20">
      <c r="A2790" s="671"/>
      <c r="B2790" s="672"/>
      <c r="C2790" s="678">
        <v>87</v>
      </c>
      <c r="D2790" s="925" t="s">
        <v>3697</v>
      </c>
      <c r="E2790" s="926"/>
      <c r="F2790" s="675"/>
      <c r="G2790" s="672"/>
      <c r="H2790" s="676"/>
      <c r="Q2790" s="711"/>
      <c r="S2790" s="670"/>
    </row>
    <row r="2791" spans="1:20">
      <c r="A2791" s="671"/>
      <c r="B2791" s="672"/>
      <c r="C2791" s="672"/>
      <c r="D2791" s="672" t="s">
        <v>759</v>
      </c>
      <c r="E2791" s="676" t="s">
        <v>244</v>
      </c>
      <c r="F2791" s="675"/>
      <c r="G2791" s="672"/>
      <c r="H2791" s="676"/>
      <c r="Q2791" s="711"/>
      <c r="S2791" s="670"/>
    </row>
    <row r="2792" spans="1:20">
      <c r="A2792" s="679">
        <v>1112831</v>
      </c>
      <c r="B2792" s="672"/>
      <c r="C2792" s="672"/>
      <c r="D2792" s="672"/>
      <c r="E2792" s="676" t="s">
        <v>3698</v>
      </c>
      <c r="F2792" s="680" t="s">
        <v>3699</v>
      </c>
      <c r="G2792" s="710">
        <v>111</v>
      </c>
      <c r="H2792" s="682">
        <v>2831</v>
      </c>
      <c r="J2792" s="668" t="str">
        <f t="shared" ref="J2792:J2797" si="487">E2792</f>
        <v>(1) Personnel / HR Director (only)</v>
      </c>
      <c r="L2792" s="668">
        <v>81</v>
      </c>
      <c r="M2792" s="669">
        <v>76</v>
      </c>
      <c r="N2792" s="668"/>
      <c r="O2792" s="668">
        <v>20</v>
      </c>
      <c r="P2792" s="668" t="str">
        <f>IFERROR(VLOOKUP(F2792, [2]MOE!B:C, 2, FALSE), "No")</f>
        <v>No</v>
      </c>
      <c r="Q2792" s="711"/>
      <c r="S2792" s="670" t="s">
        <v>3700</v>
      </c>
      <c r="T2792" s="668" t="s">
        <v>3701</v>
      </c>
    </row>
    <row r="2793" spans="1:20">
      <c r="A2793" s="679">
        <v>1112830</v>
      </c>
      <c r="B2793" s="672"/>
      <c r="C2793" s="672"/>
      <c r="D2793" s="672"/>
      <c r="E2793" s="676" t="s">
        <v>3702</v>
      </c>
      <c r="F2793" s="680" t="s">
        <v>3703</v>
      </c>
      <c r="G2793" s="710">
        <v>111</v>
      </c>
      <c r="H2793" s="682">
        <v>2830</v>
      </c>
      <c r="J2793" s="668" t="str">
        <f t="shared" si="487"/>
        <v>(2) Other Personnel Services Supervisors</v>
      </c>
      <c r="L2793" s="668">
        <v>81</v>
      </c>
      <c r="M2793" s="669">
        <v>76</v>
      </c>
      <c r="N2793" s="668"/>
      <c r="O2793" s="668">
        <v>20</v>
      </c>
      <c r="P2793" s="668" t="str">
        <f>IFERROR(VLOOKUP(F2793, [2]MOE!B:C, 2, FALSE), "No")</f>
        <v>No</v>
      </c>
      <c r="Q2793" s="711"/>
      <c r="S2793" s="670" t="s">
        <v>3700</v>
      </c>
      <c r="T2793" s="668" t="s">
        <v>3704</v>
      </c>
    </row>
    <row r="2794" spans="1:20">
      <c r="A2794" s="679">
        <v>1102832</v>
      </c>
      <c r="B2794" s="672"/>
      <c r="C2794" s="672"/>
      <c r="D2794" s="672"/>
      <c r="E2794" s="676" t="s">
        <v>3705</v>
      </c>
      <c r="F2794" s="680" t="s">
        <v>3706</v>
      </c>
      <c r="G2794" s="710">
        <v>110</v>
      </c>
      <c r="H2794" s="682">
        <v>2832</v>
      </c>
      <c r="J2794" s="668" t="str">
        <f t="shared" si="487"/>
        <v>(3) Recruitment and Placement Staff</v>
      </c>
      <c r="L2794" s="668">
        <v>86</v>
      </c>
      <c r="M2794" s="669">
        <v>81</v>
      </c>
      <c r="N2794" s="668"/>
      <c r="O2794" s="668">
        <v>20</v>
      </c>
      <c r="P2794" s="668" t="str">
        <f>IFERROR(VLOOKUP(F2794, [2]MOE!B:C, 2, FALSE), "No")</f>
        <v>No</v>
      </c>
      <c r="Q2794" s="711"/>
      <c r="S2794" s="670" t="s">
        <v>3700</v>
      </c>
      <c r="T2794" s="668" t="s">
        <v>3707</v>
      </c>
    </row>
    <row r="2795" spans="1:20">
      <c r="A2795" s="679">
        <v>1142830</v>
      </c>
      <c r="B2795" s="672"/>
      <c r="C2795" s="672"/>
      <c r="D2795" s="672"/>
      <c r="E2795" s="676" t="s">
        <v>3708</v>
      </c>
      <c r="F2795" s="680" t="s">
        <v>3709</v>
      </c>
      <c r="G2795" s="710">
        <v>114</v>
      </c>
      <c r="H2795" s="682">
        <v>2830</v>
      </c>
      <c r="J2795" s="668" t="str">
        <f t="shared" si="487"/>
        <v>(4) Clerical/Secretarial</v>
      </c>
      <c r="L2795" s="668">
        <v>84</v>
      </c>
      <c r="M2795" s="669">
        <v>79</v>
      </c>
      <c r="N2795" s="668"/>
      <c r="O2795" s="668">
        <v>20</v>
      </c>
      <c r="P2795" s="668" t="str">
        <f>IFERROR(VLOOKUP(F2795, [2]MOE!B:C, 2, FALSE), "No")</f>
        <v>No</v>
      </c>
      <c r="Q2795" s="711"/>
      <c r="S2795" s="670" t="s">
        <v>3700</v>
      </c>
      <c r="T2795" s="668" t="s">
        <v>1854</v>
      </c>
    </row>
    <row r="2796" spans="1:20">
      <c r="A2796" s="679">
        <v>1182830</v>
      </c>
      <c r="B2796" s="672"/>
      <c r="C2796" s="672"/>
      <c r="D2796" s="672"/>
      <c r="E2796" s="676" t="s">
        <v>3710</v>
      </c>
      <c r="F2796" s="680" t="s">
        <v>3711</v>
      </c>
      <c r="G2796" s="710">
        <v>118</v>
      </c>
      <c r="H2796" s="682">
        <v>2830</v>
      </c>
      <c r="J2796" s="668" t="str">
        <f t="shared" si="487"/>
        <v>(5) Degreed Professional</v>
      </c>
      <c r="L2796" s="668">
        <v>86</v>
      </c>
      <c r="M2796" s="669">
        <v>81</v>
      </c>
      <c r="N2796" s="668"/>
      <c r="O2796" s="668">
        <v>20</v>
      </c>
      <c r="P2796" s="668" t="str">
        <f>IFERROR(VLOOKUP(F2796, [2]MOE!B:C, 2, FALSE), "No")</f>
        <v>No</v>
      </c>
      <c r="Q2796" s="711"/>
      <c r="S2796" s="670" t="s">
        <v>3700</v>
      </c>
      <c r="T2796" s="668" t="s">
        <v>3712</v>
      </c>
    </row>
    <row r="2797" spans="1:20">
      <c r="A2797" s="679">
        <v>1002830</v>
      </c>
      <c r="B2797" s="672"/>
      <c r="C2797" s="672"/>
      <c r="D2797" s="672"/>
      <c r="E2797" s="676" t="s">
        <v>3713</v>
      </c>
      <c r="F2797" s="680" t="s">
        <v>3714</v>
      </c>
      <c r="G2797" s="710">
        <v>100</v>
      </c>
      <c r="H2797" s="682">
        <v>2830</v>
      </c>
      <c r="J2797" s="668" t="str">
        <f t="shared" si="487"/>
        <v>(6) Other Salaries - Personnel Services</v>
      </c>
      <c r="L2797" s="668">
        <v>86</v>
      </c>
      <c r="M2797" s="669">
        <v>81</v>
      </c>
      <c r="N2797" s="668"/>
      <c r="O2797" s="668">
        <v>20</v>
      </c>
      <c r="P2797" s="668" t="str">
        <f>IFERROR(VLOOKUP(F2797, [2]MOE!B:C, 2, FALSE), "No")</f>
        <v>No</v>
      </c>
      <c r="Q2797" s="711"/>
      <c r="S2797" s="670" t="s">
        <v>3700</v>
      </c>
      <c r="T2797" s="668" t="s">
        <v>3715</v>
      </c>
    </row>
    <row r="2798" spans="1:20">
      <c r="A2798" s="671"/>
      <c r="B2798" s="672"/>
      <c r="C2798" s="672"/>
      <c r="D2798" s="672" t="s">
        <v>777</v>
      </c>
      <c r="E2798" s="676" t="s">
        <v>1113</v>
      </c>
      <c r="F2798" s="675"/>
      <c r="G2798" s="672"/>
      <c r="H2798" s="676"/>
      <c r="Q2798" s="711"/>
      <c r="S2798" s="670"/>
    </row>
    <row r="2799" spans="1:20">
      <c r="A2799" s="679">
        <v>3392830</v>
      </c>
      <c r="B2799" s="672"/>
      <c r="C2799" s="672"/>
      <c r="D2799" s="672"/>
      <c r="E2799" s="676" t="s">
        <v>3716</v>
      </c>
      <c r="F2799" s="680" t="s">
        <v>3717</v>
      </c>
      <c r="G2799" s="710">
        <v>339</v>
      </c>
      <c r="H2799" s="682">
        <v>2830</v>
      </c>
      <c r="J2799" s="668" t="str">
        <f t="shared" ref="J2799:J2800" si="488">E2799</f>
        <v>(1) Fingerprinting and Background Check</v>
      </c>
      <c r="L2799" s="668">
        <v>101</v>
      </c>
      <c r="M2799" s="669">
        <v>96</v>
      </c>
      <c r="N2799" s="668"/>
      <c r="O2799" s="668">
        <v>20</v>
      </c>
      <c r="P2799" s="668" t="str">
        <f>IFERROR(VLOOKUP(F2799, [2]MOE!B:C, 2, FALSE), "No")</f>
        <v>No</v>
      </c>
      <c r="Q2799" s="711"/>
      <c r="S2799" s="670" t="s">
        <v>3700</v>
      </c>
      <c r="T2799" s="668" t="s">
        <v>3718</v>
      </c>
    </row>
    <row r="2800" spans="1:20">
      <c r="A2800" s="679">
        <v>3002830</v>
      </c>
      <c r="B2800" s="672"/>
      <c r="C2800" s="672"/>
      <c r="D2800" s="672"/>
      <c r="E2800" s="676" t="s">
        <v>3208</v>
      </c>
      <c r="F2800" s="680" t="s">
        <v>3719</v>
      </c>
      <c r="G2800" s="710">
        <v>300</v>
      </c>
      <c r="H2800" s="682">
        <v>2830</v>
      </c>
      <c r="J2800" s="668" t="str">
        <f t="shared" si="488"/>
        <v>(2) Other Purchased Prof. and Tech. Svcs</v>
      </c>
      <c r="L2800" s="668">
        <v>101</v>
      </c>
      <c r="M2800" s="669">
        <v>96</v>
      </c>
      <c r="N2800" s="668"/>
      <c r="O2800" s="668">
        <v>20</v>
      </c>
      <c r="P2800" s="668" t="str">
        <f>IFERROR(VLOOKUP(F2800, [2]MOE!B:C, 2, FALSE), "No")</f>
        <v>No</v>
      </c>
      <c r="Q2800" s="711"/>
      <c r="S2800" s="670" t="s">
        <v>3700</v>
      </c>
      <c r="T2800" s="668" t="s">
        <v>3004</v>
      </c>
    </row>
    <row r="2801" spans="1:20">
      <c r="A2801" s="671"/>
      <c r="B2801" s="672"/>
      <c r="C2801" s="672"/>
      <c r="D2801" s="672" t="s">
        <v>801</v>
      </c>
      <c r="E2801" s="676" t="s">
        <v>250</v>
      </c>
      <c r="F2801" s="675"/>
      <c r="G2801" s="672"/>
      <c r="H2801" s="676"/>
      <c r="Q2801" s="711"/>
      <c r="S2801" s="670"/>
    </row>
    <row r="2802" spans="1:20">
      <c r="A2802" s="679">
        <v>4302830</v>
      </c>
      <c r="B2802" s="672"/>
      <c r="C2802" s="672"/>
      <c r="D2802" s="672"/>
      <c r="E2802" s="676" t="s">
        <v>1115</v>
      </c>
      <c r="F2802" s="680" t="s">
        <v>3720</v>
      </c>
      <c r="G2802" s="710">
        <v>430</v>
      </c>
      <c r="H2802" s="682">
        <v>2830</v>
      </c>
      <c r="J2802" s="668" t="str">
        <f t="shared" ref="J2802:J2803" si="489">E2802</f>
        <v>(1) Repairs and Maintenance Services</v>
      </c>
      <c r="L2802" s="668">
        <v>107</v>
      </c>
      <c r="M2802" s="669">
        <v>102</v>
      </c>
      <c r="N2802" s="668"/>
      <c r="O2802" s="668">
        <v>20</v>
      </c>
      <c r="P2802" s="668" t="str">
        <f>IFERROR(VLOOKUP(F2802, [2]MOE!B:C, 2, FALSE), "No")</f>
        <v>No</v>
      </c>
      <c r="Q2802" s="711"/>
      <c r="S2802" s="670" t="s">
        <v>3700</v>
      </c>
      <c r="T2802" s="668" t="s">
        <v>1023</v>
      </c>
    </row>
    <row r="2803" spans="1:20">
      <c r="A2803" s="679">
        <v>4002830</v>
      </c>
      <c r="B2803" s="672"/>
      <c r="C2803" s="672"/>
      <c r="D2803" s="672"/>
      <c r="E2803" s="676" t="s">
        <v>3006</v>
      </c>
      <c r="F2803" s="680" t="s">
        <v>3721</v>
      </c>
      <c r="G2803" s="710">
        <v>400</v>
      </c>
      <c r="H2803" s="682">
        <v>2830</v>
      </c>
      <c r="J2803" s="668" t="str">
        <f t="shared" si="489"/>
        <v>(2) Other Purchased Property Services</v>
      </c>
      <c r="L2803" s="668">
        <v>108</v>
      </c>
      <c r="M2803" s="669">
        <v>103</v>
      </c>
      <c r="N2803" s="668"/>
      <c r="O2803" s="668">
        <v>20</v>
      </c>
      <c r="P2803" s="668" t="str">
        <f>IFERROR(VLOOKUP(F2803, [2]MOE!B:C, 2, FALSE), "No")</f>
        <v>No</v>
      </c>
      <c r="Q2803" s="711"/>
      <c r="S2803" s="670" t="s">
        <v>3700</v>
      </c>
      <c r="T2803" s="668" t="s">
        <v>1027</v>
      </c>
    </row>
    <row r="2804" spans="1:20">
      <c r="A2804" s="671"/>
      <c r="B2804" s="672"/>
      <c r="C2804" s="672"/>
      <c r="D2804" s="672" t="s">
        <v>805</v>
      </c>
      <c r="E2804" s="676" t="s">
        <v>252</v>
      </c>
      <c r="F2804" s="675"/>
      <c r="G2804" s="672"/>
      <c r="H2804" s="676"/>
      <c r="Q2804" s="711"/>
      <c r="S2804" s="670"/>
    </row>
    <row r="2805" spans="1:20">
      <c r="A2805" s="679">
        <v>5402830</v>
      </c>
      <c r="B2805" s="672"/>
      <c r="C2805" s="672"/>
      <c r="D2805" s="672"/>
      <c r="E2805" s="676" t="s">
        <v>3671</v>
      </c>
      <c r="F2805" s="680" t="s">
        <v>3722</v>
      </c>
      <c r="G2805" s="710">
        <v>540</v>
      </c>
      <c r="H2805" s="682">
        <v>2830</v>
      </c>
      <c r="J2805" s="668" t="str">
        <f t="shared" ref="J2805:J2807" si="490">E2805</f>
        <v>(1) Advertising and Public Notices</v>
      </c>
      <c r="L2805" s="668">
        <v>119</v>
      </c>
      <c r="M2805" s="669">
        <v>110</v>
      </c>
      <c r="N2805" s="668"/>
      <c r="O2805" s="668">
        <v>20</v>
      </c>
      <c r="P2805" s="668" t="str">
        <f>IFERROR(VLOOKUP(F2805, [2]MOE!B:C, 2, FALSE), "No")</f>
        <v>No</v>
      </c>
      <c r="Q2805" s="711"/>
      <c r="S2805" s="670" t="s">
        <v>3700</v>
      </c>
      <c r="T2805" s="668" t="s">
        <v>3216</v>
      </c>
    </row>
    <row r="2806" spans="1:20">
      <c r="A2806" s="679">
        <v>5822830</v>
      </c>
      <c r="B2806" s="672"/>
      <c r="C2806" s="672"/>
      <c r="D2806" s="672"/>
      <c r="E2806" s="676" t="s">
        <v>1135</v>
      </c>
      <c r="F2806" s="680" t="s">
        <v>3723</v>
      </c>
      <c r="G2806" s="710">
        <v>582</v>
      </c>
      <c r="H2806" s="682">
        <v>2830</v>
      </c>
      <c r="J2806" s="668" t="str">
        <f t="shared" si="490"/>
        <v>(2) Travel Expense Reimbursement</v>
      </c>
      <c r="L2806" s="668">
        <v>118</v>
      </c>
      <c r="M2806" s="669">
        <v>109</v>
      </c>
      <c r="N2806" s="668"/>
      <c r="O2806" s="668">
        <v>20</v>
      </c>
      <c r="P2806" s="668" t="str">
        <f>IFERROR(VLOOKUP(F2806, [2]MOE!B:C, 2, FALSE), "No")</f>
        <v>No</v>
      </c>
      <c r="Q2806" s="711"/>
      <c r="S2806" s="670" t="s">
        <v>3700</v>
      </c>
      <c r="T2806" s="668" t="s">
        <v>1039</v>
      </c>
    </row>
    <row r="2807" spans="1:20">
      <c r="A2807" s="679">
        <v>5002830</v>
      </c>
      <c r="B2807" s="672"/>
      <c r="C2807" s="672"/>
      <c r="D2807" s="672"/>
      <c r="E2807" s="676" t="s">
        <v>1137</v>
      </c>
      <c r="F2807" s="680" t="s">
        <v>3724</v>
      </c>
      <c r="G2807" s="710">
        <v>500</v>
      </c>
      <c r="H2807" s="682">
        <v>2830</v>
      </c>
      <c r="J2807" s="668" t="str">
        <f t="shared" si="490"/>
        <v>(3) Other Purchased Services</v>
      </c>
      <c r="L2807" s="668">
        <v>119</v>
      </c>
      <c r="M2807" s="669">
        <v>110</v>
      </c>
      <c r="N2807" s="668"/>
      <c r="O2807" s="668">
        <v>20</v>
      </c>
      <c r="P2807" s="668" t="str">
        <f>IFERROR(VLOOKUP(F2807, [2]MOE!B:C, 2, FALSE), "No")</f>
        <v>No</v>
      </c>
      <c r="Q2807" s="711"/>
      <c r="S2807" s="670" t="s">
        <v>3700</v>
      </c>
      <c r="T2807" s="668" t="s">
        <v>252</v>
      </c>
    </row>
    <row r="2808" spans="1:20">
      <c r="A2808" s="671"/>
      <c r="B2808" s="672"/>
      <c r="C2808" s="672"/>
      <c r="D2808" s="672" t="s">
        <v>850</v>
      </c>
      <c r="E2808" s="676" t="s">
        <v>254</v>
      </c>
      <c r="F2808" s="675"/>
      <c r="G2808" s="672"/>
      <c r="H2808" s="676"/>
      <c r="Q2808" s="711"/>
      <c r="S2808" s="670"/>
    </row>
    <row r="2809" spans="1:20">
      <c r="A2809" s="679">
        <v>6152830</v>
      </c>
      <c r="B2809" s="672"/>
      <c r="C2809" s="672"/>
      <c r="D2809" s="672"/>
      <c r="E2809" s="676" t="s">
        <v>1139</v>
      </c>
      <c r="F2809" s="680" t="s">
        <v>3725</v>
      </c>
      <c r="G2809" s="710">
        <v>615</v>
      </c>
      <c r="H2809" s="682">
        <v>2830</v>
      </c>
      <c r="J2809" s="668" t="str">
        <f t="shared" ref="J2809:J2811" si="491">E2809</f>
        <v>(1) Technology-Related Supplies</v>
      </c>
      <c r="L2809" s="668">
        <v>126</v>
      </c>
      <c r="M2809" s="669">
        <v>117</v>
      </c>
      <c r="N2809" s="668"/>
      <c r="O2809" s="668">
        <v>20</v>
      </c>
      <c r="P2809" s="668" t="str">
        <f>IFERROR(VLOOKUP(F2809, [2]MOE!B:C, 2, FALSE), "No")</f>
        <v>No</v>
      </c>
      <c r="Q2809" s="711" t="s">
        <v>1045</v>
      </c>
      <c r="S2809" s="670" t="s">
        <v>3700</v>
      </c>
      <c r="T2809" s="668" t="s">
        <v>1043</v>
      </c>
    </row>
    <row r="2810" spans="1:20">
      <c r="A2810" s="679">
        <v>6102830</v>
      </c>
      <c r="B2810" s="672"/>
      <c r="C2810" s="672"/>
      <c r="D2810" s="672"/>
      <c r="E2810" s="676" t="s">
        <v>1141</v>
      </c>
      <c r="F2810" s="680" t="s">
        <v>3726</v>
      </c>
      <c r="G2810" s="710">
        <v>610</v>
      </c>
      <c r="H2810" s="682">
        <v>2830</v>
      </c>
      <c r="J2810" s="668" t="str">
        <f t="shared" si="491"/>
        <v>(2) Materials and Supplies</v>
      </c>
      <c r="L2810" s="668">
        <v>122</v>
      </c>
      <c r="M2810" s="669">
        <v>113</v>
      </c>
      <c r="N2810" s="668"/>
      <c r="O2810" s="668">
        <v>20</v>
      </c>
      <c r="P2810" s="668" t="str">
        <f>IFERROR(VLOOKUP(F2810, [2]MOE!B:C, 2, FALSE), "No")</f>
        <v>No</v>
      </c>
      <c r="Q2810" s="711" t="s">
        <v>1045</v>
      </c>
      <c r="S2810" s="670" t="s">
        <v>3700</v>
      </c>
      <c r="T2810" s="668" t="s">
        <v>39</v>
      </c>
    </row>
    <row r="2811" spans="1:20">
      <c r="A2811" s="679">
        <v>6002830</v>
      </c>
      <c r="B2811" s="672"/>
      <c r="C2811" s="672"/>
      <c r="D2811" s="672"/>
      <c r="E2811" s="676" t="s">
        <v>1870</v>
      </c>
      <c r="F2811" s="680" t="s">
        <v>3727</v>
      </c>
      <c r="G2811" s="710">
        <v>600</v>
      </c>
      <c r="H2811" s="682">
        <v>2830</v>
      </c>
      <c r="J2811" s="668" t="str">
        <f t="shared" si="491"/>
        <v>(3) Other Supplies</v>
      </c>
      <c r="L2811" s="668">
        <v>126</v>
      </c>
      <c r="M2811" s="669">
        <v>117</v>
      </c>
      <c r="N2811" s="668"/>
      <c r="O2811" s="668">
        <v>20</v>
      </c>
      <c r="P2811" s="668" t="str">
        <f>IFERROR(VLOOKUP(F2811, [2]MOE!B:C, 2, FALSE), "No")</f>
        <v>No</v>
      </c>
      <c r="Q2811" s="711"/>
      <c r="S2811" s="670" t="s">
        <v>3700</v>
      </c>
      <c r="T2811" s="668" t="s">
        <v>1050</v>
      </c>
    </row>
    <row r="2812" spans="1:20">
      <c r="A2812" s="671"/>
      <c r="B2812" s="672"/>
      <c r="C2812" s="672"/>
      <c r="D2812" s="672" t="s">
        <v>853</v>
      </c>
      <c r="E2812" s="676" t="s">
        <v>1052</v>
      </c>
      <c r="F2812" s="675"/>
      <c r="G2812" s="672"/>
      <c r="H2812" s="676"/>
      <c r="Q2812" s="711"/>
      <c r="S2812" s="670"/>
    </row>
    <row r="2813" spans="1:20">
      <c r="A2813" s="679">
        <v>7342830</v>
      </c>
      <c r="B2813" s="672"/>
      <c r="C2813" s="672"/>
      <c r="D2813" s="672"/>
      <c r="E2813" s="676" t="s">
        <v>1147</v>
      </c>
      <c r="F2813" s="680" t="s">
        <v>3728</v>
      </c>
      <c r="G2813" s="710">
        <v>734</v>
      </c>
      <c r="H2813" s="682">
        <v>2830</v>
      </c>
      <c r="J2813" s="668" t="str">
        <f t="shared" ref="J2813:J2816" si="492">E2813</f>
        <v>(1) Technology-Related Hardware</v>
      </c>
      <c r="L2813" s="668">
        <v>131</v>
      </c>
      <c r="M2813" s="669">
        <v>122</v>
      </c>
      <c r="N2813" s="668"/>
      <c r="O2813" s="668">
        <v>20</v>
      </c>
      <c r="P2813" s="668" t="str">
        <f>IFERROR(VLOOKUP(F2813, [2]MOE!B:C, 2, FALSE), "No")</f>
        <v>No</v>
      </c>
      <c r="Q2813" s="711"/>
      <c r="S2813" s="670" t="s">
        <v>3700</v>
      </c>
      <c r="T2813" s="668" t="s">
        <v>1053</v>
      </c>
    </row>
    <row r="2814" spans="1:20">
      <c r="A2814" s="679">
        <v>7352830</v>
      </c>
      <c r="B2814" s="672"/>
      <c r="C2814" s="672"/>
      <c r="D2814" s="672"/>
      <c r="E2814" s="676" t="s">
        <v>1149</v>
      </c>
      <c r="F2814" s="680" t="s">
        <v>3729</v>
      </c>
      <c r="G2814" s="710">
        <v>735</v>
      </c>
      <c r="H2814" s="682">
        <v>2830</v>
      </c>
      <c r="J2814" s="668" t="str">
        <f t="shared" si="492"/>
        <v>(2) Technology Software</v>
      </c>
      <c r="L2814" s="668">
        <v>131</v>
      </c>
      <c r="M2814" s="669">
        <v>122</v>
      </c>
      <c r="N2814" s="668"/>
      <c r="O2814" s="668">
        <v>20</v>
      </c>
      <c r="P2814" s="668" t="str">
        <f>IFERROR(VLOOKUP(F2814, [2]MOE!B:C, 2, FALSE), "No")</f>
        <v>No</v>
      </c>
      <c r="Q2814" s="711"/>
      <c r="S2814" s="670" t="s">
        <v>3700</v>
      </c>
      <c r="T2814" s="668" t="s">
        <v>1055</v>
      </c>
    </row>
    <row r="2815" spans="1:20">
      <c r="A2815" s="679">
        <v>7302830</v>
      </c>
      <c r="B2815" s="672"/>
      <c r="C2815" s="672"/>
      <c r="D2815" s="672"/>
      <c r="E2815" s="676" t="s">
        <v>1151</v>
      </c>
      <c r="F2815" s="680" t="s">
        <v>3730</v>
      </c>
      <c r="G2815" s="710">
        <v>730</v>
      </c>
      <c r="H2815" s="682">
        <v>2830</v>
      </c>
      <c r="J2815" s="668" t="str">
        <f t="shared" si="492"/>
        <v>(3) All Other Equipment</v>
      </c>
      <c r="L2815" s="668">
        <v>131</v>
      </c>
      <c r="M2815" s="669">
        <v>122</v>
      </c>
      <c r="N2815" s="668"/>
      <c r="O2815" s="668">
        <v>20</v>
      </c>
      <c r="P2815" s="668" t="str">
        <f>IFERROR(VLOOKUP(F2815, [2]MOE!B:C, 2, FALSE), "No")</f>
        <v>No</v>
      </c>
      <c r="Q2815" s="711"/>
      <c r="S2815" s="670" t="s">
        <v>3700</v>
      </c>
      <c r="T2815" s="668" t="s">
        <v>1057</v>
      </c>
    </row>
    <row r="2816" spans="1:20">
      <c r="A2816" s="679">
        <v>7002830</v>
      </c>
      <c r="B2816" s="672"/>
      <c r="C2816" s="672"/>
      <c r="D2816" s="672"/>
      <c r="E2816" s="676" t="s">
        <v>1153</v>
      </c>
      <c r="F2816" s="680" t="s">
        <v>3731</v>
      </c>
      <c r="G2816" s="710">
        <v>700</v>
      </c>
      <c r="H2816" s="682">
        <v>2830</v>
      </c>
      <c r="J2816" s="668" t="str">
        <f t="shared" si="492"/>
        <v>(4) Other Property</v>
      </c>
      <c r="L2816" s="668">
        <v>132</v>
      </c>
      <c r="M2816" s="669">
        <v>123</v>
      </c>
      <c r="N2816" s="668"/>
      <c r="O2816" s="668">
        <v>20</v>
      </c>
      <c r="P2816" s="668" t="str">
        <f>IFERROR(VLOOKUP(F2816, [2]MOE!B:C, 2, FALSE), "No")</f>
        <v>No</v>
      </c>
      <c r="Q2816" s="711"/>
      <c r="S2816" s="670" t="s">
        <v>3700</v>
      </c>
      <c r="T2816" s="668" t="s">
        <v>1059</v>
      </c>
    </row>
    <row r="2817" spans="1:20">
      <c r="A2817" s="671"/>
      <c r="B2817" s="672"/>
      <c r="C2817" s="672"/>
      <c r="D2817" s="672" t="s">
        <v>856</v>
      </c>
      <c r="E2817" s="676" t="s">
        <v>256</v>
      </c>
      <c r="F2817" s="675"/>
      <c r="G2817" s="672"/>
      <c r="H2817" s="676"/>
      <c r="Q2817" s="711"/>
      <c r="S2817" s="670"/>
    </row>
    <row r="2818" spans="1:20">
      <c r="A2818" s="679">
        <v>8952830</v>
      </c>
      <c r="B2818" s="672"/>
      <c r="C2818" s="672"/>
      <c r="D2818" s="672"/>
      <c r="E2818" s="676" t="s">
        <v>1155</v>
      </c>
      <c r="F2818" s="680" t="s">
        <v>3732</v>
      </c>
      <c r="G2818" s="710">
        <v>895</v>
      </c>
      <c r="H2818" s="682">
        <v>2830</v>
      </c>
      <c r="J2818" s="668" t="str">
        <f t="shared" ref="J2818:J2819" si="493">E2818</f>
        <v>(1) Miscellaneous Non-Public Expenditures</v>
      </c>
      <c r="L2818" s="668">
        <v>139</v>
      </c>
      <c r="M2818" s="669">
        <v>129</v>
      </c>
      <c r="N2818" s="668"/>
      <c r="O2818" s="668">
        <v>20</v>
      </c>
      <c r="P2818" s="668" t="str">
        <f>IFERROR(VLOOKUP(F2818, [2]MOE!B:C, 2, FALSE), "No")</f>
        <v>No</v>
      </c>
      <c r="Q2818" s="711"/>
      <c r="S2818" s="670" t="s">
        <v>3700</v>
      </c>
      <c r="T2818" s="668" t="s">
        <v>1061</v>
      </c>
    </row>
    <row r="2819" spans="1:20">
      <c r="A2819" s="679">
        <v>8002830</v>
      </c>
      <c r="B2819" s="672"/>
      <c r="C2819" s="672"/>
      <c r="D2819" s="672"/>
      <c r="E2819" s="676" t="s">
        <v>1157</v>
      </c>
      <c r="F2819" s="680" t="s">
        <v>3733</v>
      </c>
      <c r="G2819" s="710">
        <v>800</v>
      </c>
      <c r="H2819" s="682">
        <v>2830</v>
      </c>
      <c r="J2819" s="668" t="str">
        <f t="shared" si="493"/>
        <v>(2) Other Miscellaneous Expenditures</v>
      </c>
      <c r="L2819" s="668">
        <v>139</v>
      </c>
      <c r="M2819" s="669">
        <v>129</v>
      </c>
      <c r="N2819" s="668"/>
      <c r="O2819" s="668">
        <v>20</v>
      </c>
      <c r="P2819" s="668" t="str">
        <f>IFERROR(VLOOKUP(F2819, [2]MOE!B:C, 2, FALSE), "No")</f>
        <v>No</v>
      </c>
      <c r="Q2819" s="711"/>
      <c r="S2819" s="670" t="s">
        <v>3700</v>
      </c>
      <c r="T2819" s="668" t="s">
        <v>1063</v>
      </c>
    </row>
    <row r="2820" spans="1:20">
      <c r="A2820" s="671"/>
      <c r="B2820" s="672"/>
      <c r="C2820" s="672"/>
      <c r="D2820" s="672" t="s">
        <v>859</v>
      </c>
      <c r="E2820" s="676" t="s">
        <v>3734</v>
      </c>
      <c r="F2820" s="675"/>
      <c r="G2820" s="672"/>
      <c r="H2820" s="676"/>
      <c r="Q2820" s="711"/>
      <c r="S2820" s="670"/>
    </row>
    <row r="2821" spans="1:20">
      <c r="A2821" s="679">
        <v>2102830</v>
      </c>
      <c r="B2821" s="672"/>
      <c r="C2821" s="672"/>
      <c r="D2821" s="672"/>
      <c r="E2821" s="676" t="s">
        <v>1159</v>
      </c>
      <c r="F2821" s="680" t="s">
        <v>3735</v>
      </c>
      <c r="G2821" s="710">
        <v>210</v>
      </c>
      <c r="H2821" s="682">
        <v>2830</v>
      </c>
      <c r="J2821" s="668" t="str">
        <f t="shared" ref="J2821:J2823" si="494">E2821</f>
        <v>(1) Group Insurance</v>
      </c>
      <c r="L2821" s="668">
        <v>89</v>
      </c>
      <c r="M2821" s="669">
        <v>84</v>
      </c>
      <c r="N2821" s="668"/>
      <c r="O2821" s="668">
        <v>20</v>
      </c>
      <c r="P2821" s="668" t="str">
        <f>IFERROR(VLOOKUP(F2821, [2]MOE!B:C, 2, FALSE), "No")</f>
        <v>No</v>
      </c>
      <c r="Q2821" s="711"/>
      <c r="S2821" s="670" t="s">
        <v>3700</v>
      </c>
      <c r="T2821" s="668" t="s">
        <v>1066</v>
      </c>
    </row>
    <row r="2822" spans="1:20">
      <c r="A2822" s="679">
        <v>2202830</v>
      </c>
      <c r="B2822" s="672"/>
      <c r="C2822" s="672"/>
      <c r="D2822" s="672"/>
      <c r="E2822" s="676" t="s">
        <v>1161</v>
      </c>
      <c r="F2822" s="680" t="s">
        <v>3736</v>
      </c>
      <c r="G2822" s="710">
        <v>220</v>
      </c>
      <c r="H2822" s="682">
        <v>2830</v>
      </c>
      <c r="J2822" s="668" t="str">
        <f t="shared" si="494"/>
        <v>(2) FICA</v>
      </c>
      <c r="L2822" s="668">
        <v>90</v>
      </c>
      <c r="M2822" s="669">
        <v>85</v>
      </c>
      <c r="N2822" s="668"/>
      <c r="O2822" s="668">
        <v>20</v>
      </c>
      <c r="P2822" s="668" t="str">
        <f>IFERROR(VLOOKUP(F2822, [2]MOE!B:C, 2, FALSE), "No")</f>
        <v>No</v>
      </c>
      <c r="Q2822" s="711"/>
      <c r="S2822" s="670" t="s">
        <v>3700</v>
      </c>
      <c r="T2822" s="668" t="s">
        <v>1068</v>
      </c>
    </row>
    <row r="2823" spans="1:20">
      <c r="A2823" s="679">
        <v>2252830</v>
      </c>
      <c r="B2823" s="672"/>
      <c r="C2823" s="672"/>
      <c r="D2823" s="672"/>
      <c r="E2823" s="676" t="s">
        <v>1163</v>
      </c>
      <c r="F2823" s="680" t="s">
        <v>3737</v>
      </c>
      <c r="G2823" s="710">
        <v>225</v>
      </c>
      <c r="H2823" s="682">
        <v>2830</v>
      </c>
      <c r="J2823" s="668" t="str">
        <f t="shared" si="494"/>
        <v>(3) Medicare</v>
      </c>
      <c r="L2823" s="668">
        <v>91</v>
      </c>
      <c r="M2823" s="669">
        <v>86</v>
      </c>
      <c r="N2823" s="668"/>
      <c r="O2823" s="668">
        <v>20</v>
      </c>
      <c r="P2823" s="668" t="str">
        <f>IFERROR(VLOOKUP(F2823, [2]MOE!B:C, 2, FALSE), "No")</f>
        <v>No</v>
      </c>
      <c r="Q2823" s="711"/>
      <c r="S2823" s="670" t="s">
        <v>3700</v>
      </c>
      <c r="T2823" s="668" t="s">
        <v>23</v>
      </c>
    </row>
    <row r="2824" spans="1:20">
      <c r="A2824" s="671"/>
      <c r="B2824" s="672"/>
      <c r="C2824" s="672"/>
      <c r="D2824" s="672"/>
      <c r="E2824" s="676" t="s">
        <v>1165</v>
      </c>
      <c r="F2824" s="675"/>
      <c r="G2824" s="672"/>
      <c r="H2824" s="676"/>
      <c r="Q2824" s="711"/>
      <c r="S2824" s="670"/>
    </row>
    <row r="2825" spans="1:20">
      <c r="A2825" s="679">
        <v>2312830</v>
      </c>
      <c r="B2825" s="672"/>
      <c r="C2825" s="672"/>
      <c r="D2825" s="672"/>
      <c r="E2825" s="676" t="s">
        <v>1166</v>
      </c>
      <c r="F2825" s="680" t="s">
        <v>3738</v>
      </c>
      <c r="G2825" s="710">
        <v>231</v>
      </c>
      <c r="H2825" s="682">
        <v>2830</v>
      </c>
      <c r="J2825" s="668" t="str">
        <f t="shared" ref="J2825:J2833" si="495">E2825</f>
        <v>(a) Louisiana Teachers Retirement</v>
      </c>
      <c r="L2825" s="668">
        <v>92</v>
      </c>
      <c r="M2825" s="669">
        <v>87</v>
      </c>
      <c r="N2825" s="668"/>
      <c r="O2825" s="668">
        <v>20</v>
      </c>
      <c r="P2825" s="668" t="str">
        <f>IFERROR(VLOOKUP(F2825, [2]MOE!B:C, 2, FALSE), "No")</f>
        <v>No</v>
      </c>
      <c r="Q2825" s="711"/>
      <c r="S2825" s="670" t="s">
        <v>3700</v>
      </c>
      <c r="T2825" s="668" t="s">
        <v>1074</v>
      </c>
    </row>
    <row r="2826" spans="1:20">
      <c r="A2826" s="679">
        <v>2332830</v>
      </c>
      <c r="B2826" s="672"/>
      <c r="C2826" s="672"/>
      <c r="D2826" s="672"/>
      <c r="E2826" s="676" t="s">
        <v>1168</v>
      </c>
      <c r="F2826" s="680" t="s">
        <v>3739</v>
      </c>
      <c r="G2826" s="710">
        <v>233</v>
      </c>
      <c r="H2826" s="682">
        <v>2830</v>
      </c>
      <c r="J2826" s="668" t="str">
        <f t="shared" si="495"/>
        <v>(b) Louisiana School Emp. Retirement</v>
      </c>
      <c r="L2826" s="668">
        <v>92</v>
      </c>
      <c r="M2826" s="669">
        <v>87</v>
      </c>
      <c r="N2826" s="668"/>
      <c r="O2826" s="668">
        <v>20</v>
      </c>
      <c r="P2826" s="668" t="str">
        <f>IFERROR(VLOOKUP(F2826, [2]MOE!B:C, 2, FALSE), "No")</f>
        <v>No</v>
      </c>
      <c r="Q2826" s="711"/>
      <c r="S2826" s="670" t="s">
        <v>3700</v>
      </c>
      <c r="T2826" s="668" t="s">
        <v>1170</v>
      </c>
    </row>
    <row r="2827" spans="1:20">
      <c r="A2827" s="679">
        <v>2392830</v>
      </c>
      <c r="B2827" s="672"/>
      <c r="C2827" s="672"/>
      <c r="D2827" s="672"/>
      <c r="E2827" s="676" t="s">
        <v>1171</v>
      </c>
      <c r="F2827" s="680" t="s">
        <v>3740</v>
      </c>
      <c r="G2827" s="710">
        <v>239</v>
      </c>
      <c r="H2827" s="682">
        <v>2830</v>
      </c>
      <c r="J2827" s="668" t="str">
        <f t="shared" si="495"/>
        <v>(c) Other Retirement</v>
      </c>
      <c r="L2827" s="668">
        <v>92</v>
      </c>
      <c r="M2827" s="669">
        <v>87</v>
      </c>
      <c r="N2827" s="668"/>
      <c r="O2827" s="668">
        <v>20</v>
      </c>
      <c r="P2827" s="668" t="str">
        <f>IFERROR(VLOOKUP(F2827, [2]MOE!B:C, 2, FALSE), "No")</f>
        <v>No</v>
      </c>
      <c r="Q2827" s="711"/>
      <c r="S2827" s="670" t="s">
        <v>3700</v>
      </c>
      <c r="T2827" s="668" t="s">
        <v>1080</v>
      </c>
    </row>
    <row r="2828" spans="1:20">
      <c r="A2828" s="679">
        <v>2502830</v>
      </c>
      <c r="B2828" s="672"/>
      <c r="C2828" s="672"/>
      <c r="D2828" s="672"/>
      <c r="E2828" s="676" t="s">
        <v>1173</v>
      </c>
      <c r="F2828" s="680" t="s">
        <v>3741</v>
      </c>
      <c r="G2828" s="710">
        <v>250</v>
      </c>
      <c r="H2828" s="682">
        <v>2830</v>
      </c>
      <c r="J2828" s="668" t="str">
        <f t="shared" si="495"/>
        <v>(5) Unemployment Compensation</v>
      </c>
      <c r="L2828" s="668">
        <v>93</v>
      </c>
      <c r="M2828" s="669">
        <v>88</v>
      </c>
      <c r="N2828" s="668"/>
      <c r="O2828" s="668">
        <v>20</v>
      </c>
      <c r="P2828" s="668" t="str">
        <f>IFERROR(VLOOKUP(F2828, [2]MOE!B:C, 2, FALSE), "No")</f>
        <v>No</v>
      </c>
      <c r="Q2828" s="711"/>
      <c r="S2828" s="670" t="s">
        <v>3700</v>
      </c>
      <c r="T2828" s="668" t="s">
        <v>1081</v>
      </c>
    </row>
    <row r="2829" spans="1:20">
      <c r="A2829" s="679">
        <v>2602830</v>
      </c>
      <c r="B2829" s="672"/>
      <c r="C2829" s="672"/>
      <c r="D2829" s="672"/>
      <c r="E2829" s="676" t="s">
        <v>1175</v>
      </c>
      <c r="F2829" s="680" t="s">
        <v>3742</v>
      </c>
      <c r="G2829" s="710">
        <v>260</v>
      </c>
      <c r="H2829" s="682">
        <v>2830</v>
      </c>
      <c r="J2829" s="668" t="str">
        <f t="shared" si="495"/>
        <v>(6) Workmen's Compensation</v>
      </c>
      <c r="L2829" s="668">
        <v>95</v>
      </c>
      <c r="M2829" s="669">
        <v>90</v>
      </c>
      <c r="N2829" s="668"/>
      <c r="O2829" s="668">
        <v>20</v>
      </c>
      <c r="P2829" s="668" t="str">
        <f>IFERROR(VLOOKUP(F2829, [2]MOE!B:C, 2, FALSE), "No")</f>
        <v>No</v>
      </c>
      <c r="Q2829" s="711"/>
      <c r="S2829" s="670" t="s">
        <v>3700</v>
      </c>
      <c r="T2829" s="668" t="s">
        <v>1083</v>
      </c>
    </row>
    <row r="2830" spans="1:20">
      <c r="A2830" s="679">
        <v>2702830</v>
      </c>
      <c r="B2830" s="672"/>
      <c r="C2830" s="672"/>
      <c r="D2830" s="672"/>
      <c r="E2830" s="676" t="s">
        <v>1177</v>
      </c>
      <c r="F2830" s="680" t="s">
        <v>3743</v>
      </c>
      <c r="G2830" s="710">
        <v>270</v>
      </c>
      <c r="H2830" s="682">
        <v>2830</v>
      </c>
      <c r="J2830" s="668" t="str">
        <f t="shared" si="495"/>
        <v>(7) Health Benefits (retirees)</v>
      </c>
      <c r="L2830" s="668">
        <v>94</v>
      </c>
      <c r="M2830" s="669">
        <v>89</v>
      </c>
      <c r="N2830" s="668"/>
      <c r="O2830" s="668">
        <v>20</v>
      </c>
      <c r="P2830" s="668" t="str">
        <f>IFERROR(VLOOKUP(F2830, [2]MOE!B:C, 2, FALSE), "No")</f>
        <v>No</v>
      </c>
      <c r="Q2830" s="711"/>
      <c r="S2830" s="670" t="s">
        <v>3700</v>
      </c>
      <c r="T2830" s="668" t="s">
        <v>1085</v>
      </c>
    </row>
    <row r="2831" spans="1:20">
      <c r="A2831" s="679">
        <v>2812830</v>
      </c>
      <c r="B2831" s="672"/>
      <c r="C2831" s="672"/>
      <c r="D2831" s="672"/>
      <c r="E2831" s="676" t="s">
        <v>1179</v>
      </c>
      <c r="F2831" s="680" t="s">
        <v>3744</v>
      </c>
      <c r="G2831" s="710">
        <v>281</v>
      </c>
      <c r="H2831" s="682">
        <v>2830</v>
      </c>
      <c r="J2831" s="668" t="str">
        <f t="shared" si="495"/>
        <v>(8) Sick Leave Severance Pay</v>
      </c>
      <c r="L2831" s="668">
        <v>95</v>
      </c>
      <c r="M2831" s="669">
        <v>90</v>
      </c>
      <c r="N2831" s="668"/>
      <c r="O2831" s="668">
        <v>20</v>
      </c>
      <c r="P2831" s="668" t="str">
        <f>IFERROR(VLOOKUP(F2831, [2]MOE!B:C, 2, FALSE), "No")</f>
        <v>No</v>
      </c>
      <c r="Q2831" s="711"/>
      <c r="S2831" s="670" t="s">
        <v>3700</v>
      </c>
      <c r="T2831" s="668" t="s">
        <v>1087</v>
      </c>
    </row>
    <row r="2832" spans="1:20">
      <c r="A2832" s="679">
        <v>2822830</v>
      </c>
      <c r="B2832" s="672"/>
      <c r="C2832" s="672"/>
      <c r="D2832" s="672"/>
      <c r="E2832" s="676" t="s">
        <v>1181</v>
      </c>
      <c r="F2832" s="680" t="s">
        <v>3745</v>
      </c>
      <c r="G2832" s="710">
        <v>282</v>
      </c>
      <c r="H2832" s="682">
        <v>2830</v>
      </c>
      <c r="J2832" s="668" t="str">
        <f t="shared" si="495"/>
        <v>(9) Annual Leave Severance Pay</v>
      </c>
      <c r="L2832" s="668">
        <v>95</v>
      </c>
      <c r="M2832" s="669">
        <v>90</v>
      </c>
      <c r="N2832" s="668"/>
      <c r="O2832" s="668">
        <v>20</v>
      </c>
      <c r="P2832" s="668" t="str">
        <f>IFERROR(VLOOKUP(F2832, [2]MOE!B:C, 2, FALSE), "No")</f>
        <v>No</v>
      </c>
      <c r="Q2832" s="711"/>
      <c r="S2832" s="670" t="s">
        <v>3700</v>
      </c>
      <c r="T2832" s="668" t="s">
        <v>1089</v>
      </c>
    </row>
    <row r="2833" spans="1:20">
      <c r="A2833" s="679">
        <v>2902830</v>
      </c>
      <c r="B2833" s="672"/>
      <c r="C2833" s="672"/>
      <c r="D2833" s="672"/>
      <c r="E2833" s="676" t="s">
        <v>1183</v>
      </c>
      <c r="F2833" s="680" t="s">
        <v>3746</v>
      </c>
      <c r="G2833" s="710">
        <v>290</v>
      </c>
      <c r="H2833" s="682">
        <v>2830</v>
      </c>
      <c r="J2833" s="668" t="str">
        <f t="shared" si="495"/>
        <v>(10) Other Employee Benefits</v>
      </c>
      <c r="L2833" s="668">
        <v>95</v>
      </c>
      <c r="M2833" s="669">
        <v>90</v>
      </c>
      <c r="N2833" s="668"/>
      <c r="O2833" s="668">
        <v>20</v>
      </c>
      <c r="P2833" s="668" t="str">
        <f>IFERROR(VLOOKUP(F2833, [2]MOE!B:C, 2, FALSE), "No")</f>
        <v>No</v>
      </c>
      <c r="Q2833" s="711"/>
      <c r="S2833" s="670" t="s">
        <v>3700</v>
      </c>
      <c r="T2833" s="668" t="s">
        <v>1092</v>
      </c>
    </row>
    <row r="2834" spans="1:20">
      <c r="A2834" s="671"/>
      <c r="B2834" s="672"/>
      <c r="C2834" s="678">
        <v>88</v>
      </c>
      <c r="D2834" s="925" t="s">
        <v>3747</v>
      </c>
      <c r="E2834" s="926"/>
      <c r="F2834" s="675"/>
      <c r="G2834" s="672"/>
      <c r="H2834" s="676"/>
      <c r="Q2834" s="711"/>
      <c r="S2834" s="670"/>
    </row>
    <row r="2835" spans="1:20">
      <c r="A2835" s="671"/>
      <c r="B2835" s="672"/>
      <c r="C2835" s="672"/>
      <c r="D2835" s="672" t="s">
        <v>759</v>
      </c>
      <c r="E2835" s="676" t="s">
        <v>244</v>
      </c>
      <c r="F2835" s="675"/>
      <c r="G2835" s="672"/>
      <c r="H2835" s="676"/>
      <c r="Q2835" s="711"/>
      <c r="S2835" s="670"/>
    </row>
    <row r="2836" spans="1:20">
      <c r="A2836" s="679">
        <v>1112840</v>
      </c>
      <c r="B2836" s="672"/>
      <c r="C2836" s="672"/>
      <c r="D2836" s="672"/>
      <c r="E2836" s="676" t="s">
        <v>1845</v>
      </c>
      <c r="F2836" s="680" t="s">
        <v>3748</v>
      </c>
      <c r="G2836" s="710">
        <v>111</v>
      </c>
      <c r="H2836" s="682">
        <v>2840</v>
      </c>
      <c r="J2836" s="668" t="str">
        <f t="shared" ref="J2836:J2843" si="496">E2836</f>
        <v>(1) Supervisors</v>
      </c>
      <c r="L2836" s="668">
        <v>81</v>
      </c>
      <c r="M2836" s="669">
        <v>76</v>
      </c>
      <c r="N2836" s="668"/>
      <c r="O2836" s="668">
        <v>20</v>
      </c>
      <c r="P2836" s="668" t="str">
        <f>IFERROR(VLOOKUP(F2836, [2]MOE!B:C, 2, FALSE), "No")</f>
        <v>No</v>
      </c>
      <c r="Q2836" s="711"/>
      <c r="S2836" s="670" t="s">
        <v>3749</v>
      </c>
      <c r="T2836" s="668" t="s">
        <v>1848</v>
      </c>
    </row>
    <row r="2837" spans="1:20">
      <c r="A2837" s="679">
        <v>1182842</v>
      </c>
      <c r="B2837" s="672"/>
      <c r="C2837" s="672"/>
      <c r="D2837" s="672"/>
      <c r="E2837" s="676" t="s">
        <v>3750</v>
      </c>
      <c r="F2837" s="680" t="s">
        <v>3751</v>
      </c>
      <c r="G2837" s="710">
        <v>118</v>
      </c>
      <c r="H2837" s="682">
        <v>2842</v>
      </c>
      <c r="J2837" s="668" t="str">
        <f t="shared" si="496"/>
        <v>(2) System Analysts</v>
      </c>
      <c r="L2837" s="668">
        <v>86</v>
      </c>
      <c r="M2837" s="669">
        <v>81</v>
      </c>
      <c r="N2837" s="668"/>
      <c r="O2837" s="668">
        <v>20</v>
      </c>
      <c r="P2837" s="668" t="str">
        <f>IFERROR(VLOOKUP(F2837, [2]MOE!B:C, 2, FALSE), "No")</f>
        <v>No</v>
      </c>
      <c r="Q2837" s="711"/>
      <c r="S2837" s="670" t="s">
        <v>3749</v>
      </c>
      <c r="T2837" s="668" t="s">
        <v>3752</v>
      </c>
    </row>
    <row r="2838" spans="1:20">
      <c r="A2838" s="679">
        <v>1182843</v>
      </c>
      <c r="B2838" s="672"/>
      <c r="C2838" s="672"/>
      <c r="D2838" s="672"/>
      <c r="E2838" s="676" t="s">
        <v>3753</v>
      </c>
      <c r="F2838" s="680" t="s">
        <v>3754</v>
      </c>
      <c r="G2838" s="710">
        <v>118</v>
      </c>
      <c r="H2838" s="682">
        <v>2843</v>
      </c>
      <c r="J2838" s="668" t="str">
        <f t="shared" si="496"/>
        <v>(3) Application Programmers</v>
      </c>
      <c r="L2838" s="668">
        <v>86</v>
      </c>
      <c r="M2838" s="669">
        <v>81</v>
      </c>
      <c r="N2838" s="668"/>
      <c r="O2838" s="668">
        <v>20</v>
      </c>
      <c r="P2838" s="668" t="str">
        <f>IFERROR(VLOOKUP(F2838, [2]MOE!B:C, 2, FALSE), "No")</f>
        <v>No</v>
      </c>
      <c r="Q2838" s="711"/>
      <c r="S2838" s="670" t="s">
        <v>3749</v>
      </c>
      <c r="T2838" s="668" t="s">
        <v>3755</v>
      </c>
    </row>
    <row r="2839" spans="1:20">
      <c r="A2839" s="679">
        <v>1182844</v>
      </c>
      <c r="B2839" s="672"/>
      <c r="C2839" s="672"/>
      <c r="D2839" s="672"/>
      <c r="E2839" s="676" t="s">
        <v>3756</v>
      </c>
      <c r="F2839" s="680" t="s">
        <v>3757</v>
      </c>
      <c r="G2839" s="710">
        <v>118</v>
      </c>
      <c r="H2839" s="682">
        <v>2844</v>
      </c>
      <c r="J2839" s="668" t="str">
        <f t="shared" si="496"/>
        <v>(4) Computer Operators</v>
      </c>
      <c r="L2839" s="668">
        <v>86</v>
      </c>
      <c r="M2839" s="669">
        <v>81</v>
      </c>
      <c r="N2839" s="668"/>
      <c r="O2839" s="668">
        <v>20</v>
      </c>
      <c r="P2839" s="668" t="str">
        <f>IFERROR(VLOOKUP(F2839, [2]MOE!B:C, 2, FALSE), "No")</f>
        <v>No</v>
      </c>
      <c r="Q2839" s="711"/>
      <c r="S2839" s="670" t="s">
        <v>3749</v>
      </c>
      <c r="T2839" s="668" t="s">
        <v>3758</v>
      </c>
    </row>
    <row r="2840" spans="1:20">
      <c r="A2840" s="679">
        <v>1102845</v>
      </c>
      <c r="B2840" s="672"/>
      <c r="C2840" s="672"/>
      <c r="D2840" s="672"/>
      <c r="E2840" s="676" t="s">
        <v>3759</v>
      </c>
      <c r="F2840" s="680" t="s">
        <v>3760</v>
      </c>
      <c r="G2840" s="710">
        <v>110</v>
      </c>
      <c r="H2840" s="682">
        <v>2845</v>
      </c>
      <c r="J2840" s="668" t="str">
        <f t="shared" si="496"/>
        <v>(5) Network Support Staff</v>
      </c>
      <c r="L2840" s="668">
        <v>86</v>
      </c>
      <c r="M2840" s="669">
        <v>81</v>
      </c>
      <c r="N2840" s="668"/>
      <c r="O2840" s="668">
        <v>20</v>
      </c>
      <c r="P2840" s="668" t="str">
        <f>IFERROR(VLOOKUP(F2840, [2]MOE!B:C, 2, FALSE), "No")</f>
        <v>No</v>
      </c>
      <c r="Q2840" s="711"/>
      <c r="S2840" s="670" t="s">
        <v>3749</v>
      </c>
      <c r="T2840" s="668" t="s">
        <v>3761</v>
      </c>
    </row>
    <row r="2841" spans="1:20">
      <c r="A2841" s="679">
        <v>1102846</v>
      </c>
      <c r="B2841" s="672"/>
      <c r="C2841" s="672"/>
      <c r="D2841" s="672"/>
      <c r="E2841" s="676" t="s">
        <v>3762</v>
      </c>
      <c r="F2841" s="680" t="s">
        <v>3763</v>
      </c>
      <c r="G2841" s="710">
        <v>110</v>
      </c>
      <c r="H2841" s="682">
        <v>2846</v>
      </c>
      <c r="J2841" s="668" t="str">
        <f t="shared" si="496"/>
        <v>(6) Hardware Maintenance &amp; Support Staff</v>
      </c>
      <c r="L2841" s="668">
        <v>86</v>
      </c>
      <c r="M2841" s="669">
        <v>81</v>
      </c>
      <c r="N2841" s="668"/>
      <c r="O2841" s="668">
        <v>20</v>
      </c>
      <c r="P2841" s="668" t="str">
        <f>IFERROR(VLOOKUP(F2841, [2]MOE!B:C, 2, FALSE), "No")</f>
        <v>No</v>
      </c>
      <c r="Q2841" s="711"/>
      <c r="S2841" s="670" t="s">
        <v>3749</v>
      </c>
      <c r="T2841" s="668" t="s">
        <v>3764</v>
      </c>
    </row>
    <row r="2842" spans="1:20">
      <c r="A2842" s="679">
        <v>1142840</v>
      </c>
      <c r="B2842" s="672"/>
      <c r="C2842" s="672"/>
      <c r="D2842" s="672"/>
      <c r="E2842" s="676" t="s">
        <v>3765</v>
      </c>
      <c r="F2842" s="680" t="s">
        <v>3766</v>
      </c>
      <c r="G2842" s="710">
        <v>114</v>
      </c>
      <c r="H2842" s="682">
        <v>2840</v>
      </c>
      <c r="J2842" s="668" t="str">
        <f t="shared" si="496"/>
        <v>(7) Clerical/Secretarial</v>
      </c>
      <c r="L2842" s="668">
        <v>84</v>
      </c>
      <c r="M2842" s="669">
        <v>79</v>
      </c>
      <c r="N2842" s="668"/>
      <c r="O2842" s="668">
        <v>20</v>
      </c>
      <c r="P2842" s="668" t="str">
        <f>IFERROR(VLOOKUP(F2842, [2]MOE!B:C, 2, FALSE), "No")</f>
        <v>No</v>
      </c>
      <c r="Q2842" s="711"/>
      <c r="S2842" s="670" t="s">
        <v>3749</v>
      </c>
      <c r="T2842" s="668" t="s">
        <v>1854</v>
      </c>
    </row>
    <row r="2843" spans="1:20">
      <c r="A2843" s="679">
        <v>1002840</v>
      </c>
      <c r="B2843" s="672"/>
      <c r="C2843" s="672"/>
      <c r="D2843" s="672"/>
      <c r="E2843" s="676" t="s">
        <v>3767</v>
      </c>
      <c r="F2843" s="680" t="s">
        <v>3768</v>
      </c>
      <c r="G2843" s="710">
        <v>100</v>
      </c>
      <c r="H2843" s="682">
        <v>2840</v>
      </c>
      <c r="J2843" s="668" t="str">
        <f t="shared" si="496"/>
        <v>(8) Other Salaries - Admin. Tech. Svcs</v>
      </c>
      <c r="L2843" s="668">
        <v>86</v>
      </c>
      <c r="M2843" s="669">
        <v>81</v>
      </c>
      <c r="N2843" s="668"/>
      <c r="O2843" s="668">
        <v>20</v>
      </c>
      <c r="P2843" s="668" t="str">
        <f>IFERROR(VLOOKUP(F2843, [2]MOE!B:C, 2, FALSE), "No")</f>
        <v>No</v>
      </c>
      <c r="Q2843" s="711"/>
      <c r="S2843" s="670" t="s">
        <v>3749</v>
      </c>
      <c r="T2843" s="668" t="s">
        <v>3769</v>
      </c>
    </row>
    <row r="2844" spans="1:20">
      <c r="A2844" s="671"/>
      <c r="B2844" s="672"/>
      <c r="C2844" s="672"/>
      <c r="D2844" s="672" t="s">
        <v>777</v>
      </c>
      <c r="E2844" s="675" t="s">
        <v>1113</v>
      </c>
      <c r="F2844" s="675"/>
      <c r="G2844" s="672"/>
      <c r="H2844" s="676"/>
      <c r="Q2844" s="711"/>
      <c r="S2844" s="670"/>
    </row>
    <row r="2845" spans="1:20">
      <c r="A2845" s="679">
        <v>3402847</v>
      </c>
      <c r="B2845" s="672"/>
      <c r="C2845" s="672"/>
      <c r="D2845" s="672"/>
      <c r="E2845" s="676" t="s">
        <v>3770</v>
      </c>
      <c r="F2845" s="680" t="s">
        <v>3771</v>
      </c>
      <c r="G2845" s="710">
        <v>340</v>
      </c>
      <c r="H2845" s="682">
        <v>2847</v>
      </c>
      <c r="I2845" s="670"/>
      <c r="J2845" s="668" t="str">
        <f t="shared" ref="J2845:J2847" si="497">E2845</f>
        <v>(1) Profess. Develop. - Admin Tech Svcs</v>
      </c>
      <c r="L2845" s="668">
        <v>101</v>
      </c>
      <c r="M2845" s="669">
        <v>96</v>
      </c>
      <c r="N2845" s="668"/>
      <c r="O2845" s="668">
        <v>20</v>
      </c>
      <c r="P2845" s="668" t="str">
        <f>IFERROR(VLOOKUP(F2845, [2]MOE!B:C, 2, FALSE), "No")</f>
        <v>No</v>
      </c>
      <c r="Q2845" s="711"/>
      <c r="S2845" s="670" t="s">
        <v>3749</v>
      </c>
      <c r="T2845" s="668" t="s">
        <v>3772</v>
      </c>
    </row>
    <row r="2846" spans="1:20">
      <c r="A2846" s="679">
        <v>3402840</v>
      </c>
      <c r="B2846" s="672"/>
      <c r="C2846" s="672"/>
      <c r="D2846" s="672"/>
      <c r="E2846" s="676" t="s">
        <v>3773</v>
      </c>
      <c r="F2846" s="680" t="s">
        <v>3774</v>
      </c>
      <c r="G2846" s="710">
        <v>340</v>
      </c>
      <c r="H2846" s="682">
        <v>2840</v>
      </c>
      <c r="J2846" s="668" t="str">
        <f t="shared" si="497"/>
        <v>(2) Other Purchased Technical Services</v>
      </c>
      <c r="L2846" s="668">
        <v>101</v>
      </c>
      <c r="M2846" s="669">
        <v>96</v>
      </c>
      <c r="N2846" s="668"/>
      <c r="O2846" s="668">
        <v>20</v>
      </c>
      <c r="P2846" s="668" t="str">
        <f>IFERROR(VLOOKUP(F2846, [2]MOE!B:C, 2, FALSE), "No")</f>
        <v>No</v>
      </c>
      <c r="Q2846" s="711"/>
      <c r="S2846" s="670" t="s">
        <v>3749</v>
      </c>
      <c r="T2846" s="668" t="s">
        <v>3775</v>
      </c>
    </row>
    <row r="2847" spans="1:20">
      <c r="A2847" s="679">
        <v>3002840</v>
      </c>
      <c r="B2847" s="672"/>
      <c r="C2847" s="672"/>
      <c r="D2847" s="672"/>
      <c r="E2847" s="676" t="s">
        <v>3002</v>
      </c>
      <c r="F2847" s="680" t="s">
        <v>3776</v>
      </c>
      <c r="G2847" s="710">
        <v>300</v>
      </c>
      <c r="H2847" s="682">
        <v>2840</v>
      </c>
      <c r="J2847" s="668" t="str">
        <f t="shared" si="497"/>
        <v>(3) Other Purchased Prof. and Tech. Svcs</v>
      </c>
      <c r="L2847" s="668">
        <v>101</v>
      </c>
      <c r="M2847" s="669">
        <v>96</v>
      </c>
      <c r="N2847" s="668"/>
      <c r="O2847" s="668">
        <v>20</v>
      </c>
      <c r="P2847" s="668" t="str">
        <f>IFERROR(VLOOKUP(F2847, [2]MOE!B:C, 2, FALSE), "No")</f>
        <v>No</v>
      </c>
      <c r="Q2847" s="711"/>
      <c r="S2847" s="670" t="s">
        <v>3749</v>
      </c>
      <c r="T2847" s="668" t="s">
        <v>3004</v>
      </c>
    </row>
    <row r="2848" spans="1:20">
      <c r="A2848" s="671"/>
      <c r="B2848" s="672"/>
      <c r="C2848" s="672"/>
      <c r="D2848" s="672" t="s">
        <v>801</v>
      </c>
      <c r="E2848" s="675" t="s">
        <v>250</v>
      </c>
      <c r="F2848" s="675"/>
      <c r="G2848" s="672"/>
      <c r="H2848" s="676"/>
      <c r="Q2848" s="711"/>
      <c r="S2848" s="670"/>
    </row>
    <row r="2849" spans="1:20">
      <c r="A2849" s="679">
        <v>4302840</v>
      </c>
      <c r="B2849" s="672"/>
      <c r="C2849" s="672"/>
      <c r="D2849" s="672"/>
      <c r="E2849" s="675" t="s">
        <v>1115</v>
      </c>
      <c r="F2849" s="680" t="s">
        <v>3777</v>
      </c>
      <c r="G2849" s="710">
        <v>430</v>
      </c>
      <c r="H2849" s="682">
        <v>2840</v>
      </c>
      <c r="J2849" s="668" t="str">
        <f t="shared" ref="J2849:J2851" si="498">E2849</f>
        <v>(1) Repairs and Maintenance Services</v>
      </c>
      <c r="L2849" s="668">
        <v>107</v>
      </c>
      <c r="M2849" s="669">
        <v>102</v>
      </c>
      <c r="N2849" s="668"/>
      <c r="O2849" s="668">
        <v>20</v>
      </c>
      <c r="P2849" s="668" t="str">
        <f>IFERROR(VLOOKUP(F2849, [2]MOE!B:C, 2, FALSE), "No")</f>
        <v>No</v>
      </c>
      <c r="Q2849" s="711"/>
      <c r="S2849" s="670" t="s">
        <v>3749</v>
      </c>
      <c r="T2849" s="668" t="s">
        <v>1023</v>
      </c>
    </row>
    <row r="2850" spans="1:20">
      <c r="A2850" s="679">
        <v>4422840</v>
      </c>
      <c r="B2850" s="672"/>
      <c r="C2850" s="672"/>
      <c r="D2850" s="672"/>
      <c r="E2850" s="676" t="s">
        <v>1117</v>
      </c>
      <c r="F2850" s="680" t="s">
        <v>3778</v>
      </c>
      <c r="G2850" s="710">
        <v>442</v>
      </c>
      <c r="H2850" s="682">
        <v>2840</v>
      </c>
      <c r="J2850" s="668" t="str">
        <f t="shared" si="498"/>
        <v>(2) Rental of Equipment</v>
      </c>
      <c r="L2850" s="668">
        <v>106</v>
      </c>
      <c r="M2850" s="669">
        <v>101</v>
      </c>
      <c r="N2850" s="668"/>
      <c r="O2850" s="668">
        <v>20</v>
      </c>
      <c r="P2850" s="668" t="str">
        <f>IFERROR(VLOOKUP(F2850, [2]MOE!B:C, 2, FALSE), "No")</f>
        <v>No</v>
      </c>
      <c r="Q2850" s="711"/>
      <c r="S2850" s="670" t="s">
        <v>3749</v>
      </c>
      <c r="T2850" s="668" t="s">
        <v>1025</v>
      </c>
    </row>
    <row r="2851" spans="1:20">
      <c r="A2851" s="679">
        <v>4002840</v>
      </c>
      <c r="B2851" s="672"/>
      <c r="C2851" s="672"/>
      <c r="D2851" s="672"/>
      <c r="E2851" s="676" t="s">
        <v>1119</v>
      </c>
      <c r="F2851" s="680" t="s">
        <v>3779</v>
      </c>
      <c r="G2851" s="710">
        <v>400</v>
      </c>
      <c r="H2851" s="682">
        <v>2840</v>
      </c>
      <c r="J2851" s="668" t="str">
        <f t="shared" si="498"/>
        <v>(3) Other Purchased Property Services</v>
      </c>
      <c r="L2851" s="668">
        <v>108</v>
      </c>
      <c r="M2851" s="669">
        <v>103</v>
      </c>
      <c r="N2851" s="668"/>
      <c r="O2851" s="668">
        <v>20</v>
      </c>
      <c r="P2851" s="668" t="str">
        <f>IFERROR(VLOOKUP(F2851, [2]MOE!B:C, 2, FALSE), "No")</f>
        <v>No</v>
      </c>
      <c r="Q2851" s="711"/>
      <c r="S2851" s="670" t="s">
        <v>3749</v>
      </c>
      <c r="T2851" s="668" t="s">
        <v>1027</v>
      </c>
    </row>
    <row r="2852" spans="1:20">
      <c r="A2852" s="671"/>
      <c r="B2852" s="672"/>
      <c r="C2852" s="672"/>
      <c r="D2852" s="672" t="s">
        <v>805</v>
      </c>
      <c r="E2852" s="675" t="s">
        <v>252</v>
      </c>
      <c r="F2852" s="675"/>
      <c r="G2852" s="672"/>
      <c r="H2852" s="676"/>
      <c r="Q2852" s="711"/>
      <c r="S2852" s="670"/>
    </row>
    <row r="2853" spans="1:20">
      <c r="A2853" s="679">
        <v>5302840</v>
      </c>
      <c r="B2853" s="672"/>
      <c r="C2853" s="672"/>
      <c r="D2853" s="672"/>
      <c r="E2853" s="676" t="s">
        <v>3105</v>
      </c>
      <c r="F2853" s="680" t="s">
        <v>3780</v>
      </c>
      <c r="G2853" s="710">
        <v>530</v>
      </c>
      <c r="H2853" s="682">
        <v>2840</v>
      </c>
      <c r="J2853" s="668" t="str">
        <f t="shared" ref="J2853:J2855" si="499">E2853</f>
        <v>(1) Communications (phone/internet/post)</v>
      </c>
      <c r="L2853" s="668">
        <v>119</v>
      </c>
      <c r="M2853" s="669">
        <v>110</v>
      </c>
      <c r="N2853" s="668"/>
      <c r="O2853" s="668">
        <v>20</v>
      </c>
      <c r="P2853" s="668" t="str">
        <f>IFERROR(VLOOKUP(F2853, [2]MOE!B:C, 2, FALSE), "No")</f>
        <v>No</v>
      </c>
      <c r="Q2853" s="711"/>
      <c r="S2853" s="670" t="s">
        <v>3749</v>
      </c>
      <c r="T2853" s="668" t="s">
        <v>3020</v>
      </c>
    </row>
    <row r="2854" spans="1:20">
      <c r="A2854" s="679">
        <v>5822840</v>
      </c>
      <c r="B2854" s="672"/>
      <c r="C2854" s="672"/>
      <c r="D2854" s="672"/>
      <c r="E2854" s="676" t="s">
        <v>1135</v>
      </c>
      <c r="F2854" s="680" t="s">
        <v>3781</v>
      </c>
      <c r="G2854" s="710">
        <v>582</v>
      </c>
      <c r="H2854" s="682">
        <v>2840</v>
      </c>
      <c r="J2854" s="668" t="str">
        <f t="shared" si="499"/>
        <v>(2) Travel Expense Reimbursement</v>
      </c>
      <c r="L2854" s="668">
        <v>118</v>
      </c>
      <c r="M2854" s="669">
        <v>109</v>
      </c>
      <c r="N2854" s="668"/>
      <c r="O2854" s="668">
        <v>20</v>
      </c>
      <c r="P2854" s="668" t="str">
        <f>IFERROR(VLOOKUP(F2854, [2]MOE!B:C, 2, FALSE), "No")</f>
        <v>No</v>
      </c>
      <c r="Q2854" s="711"/>
      <c r="S2854" s="670" t="s">
        <v>3749</v>
      </c>
      <c r="T2854" s="668" t="s">
        <v>1039</v>
      </c>
    </row>
    <row r="2855" spans="1:20">
      <c r="A2855" s="679">
        <v>5002840</v>
      </c>
      <c r="B2855" s="672"/>
      <c r="C2855" s="672"/>
      <c r="D2855" s="672"/>
      <c r="E2855" s="676" t="s">
        <v>1137</v>
      </c>
      <c r="F2855" s="680" t="s">
        <v>3782</v>
      </c>
      <c r="G2855" s="710">
        <v>500</v>
      </c>
      <c r="H2855" s="682">
        <v>2840</v>
      </c>
      <c r="J2855" s="668" t="str">
        <f t="shared" si="499"/>
        <v>(3) Other Purchased Services</v>
      </c>
      <c r="L2855" s="668">
        <v>119</v>
      </c>
      <c r="M2855" s="669">
        <v>110</v>
      </c>
      <c r="N2855" s="668"/>
      <c r="O2855" s="668">
        <v>20</v>
      </c>
      <c r="P2855" s="668" t="str">
        <f>IFERROR(VLOOKUP(F2855, [2]MOE!B:C, 2, FALSE), "No")</f>
        <v>No</v>
      </c>
      <c r="Q2855" s="711"/>
      <c r="S2855" s="670" t="s">
        <v>3749</v>
      </c>
      <c r="T2855" s="668" t="s">
        <v>252</v>
      </c>
    </row>
    <row r="2856" spans="1:20">
      <c r="A2856" s="671"/>
      <c r="B2856" s="672"/>
      <c r="C2856" s="672"/>
      <c r="D2856" s="672" t="s">
        <v>850</v>
      </c>
      <c r="E2856" s="676" t="s">
        <v>254</v>
      </c>
      <c r="F2856" s="675"/>
      <c r="G2856" s="672"/>
      <c r="H2856" s="676"/>
      <c r="Q2856" s="711"/>
      <c r="S2856" s="670"/>
    </row>
    <row r="2857" spans="1:20">
      <c r="A2857" s="679">
        <v>6152840</v>
      </c>
      <c r="B2857" s="672"/>
      <c r="C2857" s="672"/>
      <c r="D2857" s="672"/>
      <c r="E2857" s="676" t="s">
        <v>1139</v>
      </c>
      <c r="F2857" s="680" t="s">
        <v>3783</v>
      </c>
      <c r="G2857" s="710">
        <v>615</v>
      </c>
      <c r="H2857" s="682">
        <v>2840</v>
      </c>
      <c r="J2857" s="668" t="str">
        <f t="shared" ref="J2857:J2859" si="500">E2857</f>
        <v>(1) Technology-Related Supplies</v>
      </c>
      <c r="L2857" s="668">
        <v>126</v>
      </c>
      <c r="M2857" s="669">
        <v>117</v>
      </c>
      <c r="N2857" s="668"/>
      <c r="O2857" s="668">
        <v>20</v>
      </c>
      <c r="P2857" s="668" t="str">
        <f>IFERROR(VLOOKUP(F2857, [2]MOE!B:C, 2, FALSE), "No")</f>
        <v>No</v>
      </c>
      <c r="Q2857" s="711" t="s">
        <v>1045</v>
      </c>
      <c r="S2857" s="670" t="s">
        <v>3749</v>
      </c>
      <c r="T2857" s="668" t="s">
        <v>1043</v>
      </c>
    </row>
    <row r="2858" spans="1:20">
      <c r="A2858" s="679">
        <v>6102840</v>
      </c>
      <c r="B2858" s="672"/>
      <c r="C2858" s="672"/>
      <c r="D2858" s="672"/>
      <c r="E2858" s="676" t="s">
        <v>1141</v>
      </c>
      <c r="F2858" s="680" t="s">
        <v>3784</v>
      </c>
      <c r="G2858" s="710">
        <v>610</v>
      </c>
      <c r="H2858" s="682">
        <v>2840</v>
      </c>
      <c r="J2858" s="668" t="str">
        <f t="shared" si="500"/>
        <v>(2) Materials and Supplies</v>
      </c>
      <c r="L2858" s="668">
        <v>122</v>
      </c>
      <c r="M2858" s="669">
        <v>113</v>
      </c>
      <c r="N2858" s="668"/>
      <c r="O2858" s="668">
        <v>20</v>
      </c>
      <c r="P2858" s="668" t="str">
        <f>IFERROR(VLOOKUP(F2858, [2]MOE!B:C, 2, FALSE), "No")</f>
        <v>No</v>
      </c>
      <c r="Q2858" s="711" t="s">
        <v>1045</v>
      </c>
      <c r="S2858" s="670" t="s">
        <v>3749</v>
      </c>
      <c r="T2858" s="668" t="s">
        <v>39</v>
      </c>
    </row>
    <row r="2859" spans="1:20">
      <c r="A2859" s="679">
        <v>6002840</v>
      </c>
      <c r="B2859" s="672"/>
      <c r="C2859" s="672"/>
      <c r="D2859" s="672"/>
      <c r="E2859" s="676" t="s">
        <v>1870</v>
      </c>
      <c r="F2859" s="680" t="s">
        <v>3785</v>
      </c>
      <c r="G2859" s="710">
        <v>600</v>
      </c>
      <c r="H2859" s="682">
        <v>2840</v>
      </c>
      <c r="J2859" s="668" t="str">
        <f t="shared" si="500"/>
        <v>(3) Other Supplies</v>
      </c>
      <c r="L2859" s="668">
        <v>126</v>
      </c>
      <c r="M2859" s="669">
        <v>117</v>
      </c>
      <c r="N2859" s="668"/>
      <c r="O2859" s="668">
        <v>20</v>
      </c>
      <c r="P2859" s="668" t="str">
        <f>IFERROR(VLOOKUP(F2859, [2]MOE!B:C, 2, FALSE), "No")</f>
        <v>No</v>
      </c>
      <c r="Q2859" s="711"/>
      <c r="S2859" s="670" t="s">
        <v>3749</v>
      </c>
      <c r="T2859" s="668" t="s">
        <v>1050</v>
      </c>
    </row>
    <row r="2860" spans="1:20">
      <c r="A2860" s="671"/>
      <c r="B2860" s="672"/>
      <c r="C2860" s="672"/>
      <c r="D2860" s="672" t="s">
        <v>853</v>
      </c>
      <c r="E2860" s="675" t="s">
        <v>1052</v>
      </c>
      <c r="F2860" s="675"/>
      <c r="G2860" s="672"/>
      <c r="H2860" s="676"/>
      <c r="Q2860" s="711"/>
      <c r="S2860" s="670"/>
    </row>
    <row r="2861" spans="1:20">
      <c r="A2861" s="679">
        <v>7342840</v>
      </c>
      <c r="B2861" s="672"/>
      <c r="C2861" s="672"/>
      <c r="D2861" s="672"/>
      <c r="E2861" s="676" t="s">
        <v>1147</v>
      </c>
      <c r="F2861" s="680" t="s">
        <v>3786</v>
      </c>
      <c r="G2861" s="710">
        <v>734</v>
      </c>
      <c r="H2861" s="682">
        <v>2840</v>
      </c>
      <c r="J2861" s="668" t="str">
        <f t="shared" ref="J2861:J2864" si="501">E2861</f>
        <v>(1) Technology-Related Hardware</v>
      </c>
      <c r="L2861" s="668">
        <v>131</v>
      </c>
      <c r="M2861" s="669">
        <v>122</v>
      </c>
      <c r="N2861" s="668"/>
      <c r="O2861" s="668">
        <v>20</v>
      </c>
      <c r="P2861" s="668" t="str">
        <f>IFERROR(VLOOKUP(F2861, [2]MOE!B:C, 2, FALSE), "No")</f>
        <v>No</v>
      </c>
      <c r="Q2861" s="711"/>
      <c r="S2861" s="670" t="s">
        <v>3749</v>
      </c>
      <c r="T2861" s="668" t="s">
        <v>1053</v>
      </c>
    </row>
    <row r="2862" spans="1:20">
      <c r="A2862" s="679">
        <v>7352840</v>
      </c>
      <c r="B2862" s="672"/>
      <c r="C2862" s="672"/>
      <c r="D2862" s="672"/>
      <c r="E2862" s="676" t="s">
        <v>1149</v>
      </c>
      <c r="F2862" s="680" t="s">
        <v>3787</v>
      </c>
      <c r="G2862" s="710">
        <v>735</v>
      </c>
      <c r="H2862" s="682">
        <v>2840</v>
      </c>
      <c r="J2862" s="668" t="str">
        <f t="shared" si="501"/>
        <v>(2) Technology Software</v>
      </c>
      <c r="L2862" s="668">
        <v>131</v>
      </c>
      <c r="M2862" s="669">
        <v>122</v>
      </c>
      <c r="N2862" s="668"/>
      <c r="O2862" s="668">
        <v>20</v>
      </c>
      <c r="P2862" s="668" t="str">
        <f>IFERROR(VLOOKUP(F2862, [2]MOE!B:C, 2, FALSE), "No")</f>
        <v>No</v>
      </c>
      <c r="Q2862" s="711"/>
      <c r="S2862" s="670" t="s">
        <v>3749</v>
      </c>
      <c r="T2862" s="668" t="s">
        <v>1055</v>
      </c>
    </row>
    <row r="2863" spans="1:20">
      <c r="A2863" s="679">
        <v>7302840</v>
      </c>
      <c r="B2863" s="672"/>
      <c r="C2863" s="672"/>
      <c r="D2863" s="672"/>
      <c r="E2863" s="676" t="s">
        <v>1151</v>
      </c>
      <c r="F2863" s="680" t="s">
        <v>3788</v>
      </c>
      <c r="G2863" s="710">
        <v>730</v>
      </c>
      <c r="H2863" s="682">
        <v>2840</v>
      </c>
      <c r="J2863" s="668" t="str">
        <f t="shared" si="501"/>
        <v>(3) All Other Equipment</v>
      </c>
      <c r="L2863" s="668">
        <v>131</v>
      </c>
      <c r="M2863" s="669">
        <v>122</v>
      </c>
      <c r="N2863" s="668"/>
      <c r="O2863" s="668">
        <v>20</v>
      </c>
      <c r="P2863" s="668" t="str">
        <f>IFERROR(VLOOKUP(F2863, [2]MOE!B:C, 2, FALSE), "No")</f>
        <v>No</v>
      </c>
      <c r="Q2863" s="711"/>
      <c r="S2863" s="670" t="s">
        <v>3749</v>
      </c>
      <c r="T2863" s="668" t="s">
        <v>1057</v>
      </c>
    </row>
    <row r="2864" spans="1:20">
      <c r="A2864" s="679">
        <v>7002840</v>
      </c>
      <c r="B2864" s="672"/>
      <c r="C2864" s="672"/>
      <c r="D2864" s="672"/>
      <c r="E2864" s="676" t="s">
        <v>1153</v>
      </c>
      <c r="F2864" s="680" t="s">
        <v>3789</v>
      </c>
      <c r="G2864" s="710">
        <v>700</v>
      </c>
      <c r="H2864" s="682">
        <v>2840</v>
      </c>
      <c r="J2864" s="668" t="str">
        <f t="shared" si="501"/>
        <v>(4) Other Property</v>
      </c>
      <c r="L2864" s="668">
        <v>132</v>
      </c>
      <c r="M2864" s="669">
        <v>123</v>
      </c>
      <c r="N2864" s="668"/>
      <c r="O2864" s="668">
        <v>20</v>
      </c>
      <c r="P2864" s="668" t="str">
        <f>IFERROR(VLOOKUP(F2864, [2]MOE!B:C, 2, FALSE), "No")</f>
        <v>No</v>
      </c>
      <c r="Q2864" s="711"/>
      <c r="S2864" s="670" t="s">
        <v>3749</v>
      </c>
      <c r="T2864" s="668" t="s">
        <v>1059</v>
      </c>
    </row>
    <row r="2865" spans="1:20">
      <c r="A2865" s="671"/>
      <c r="B2865" s="672"/>
      <c r="C2865" s="672"/>
      <c r="D2865" s="672" t="s">
        <v>856</v>
      </c>
      <c r="E2865" s="675" t="s">
        <v>256</v>
      </c>
      <c r="F2865" s="675"/>
      <c r="G2865" s="672"/>
      <c r="H2865" s="676"/>
      <c r="Q2865" s="711"/>
      <c r="S2865" s="670"/>
    </row>
    <row r="2866" spans="1:20">
      <c r="A2866" s="679">
        <v>8952840</v>
      </c>
      <c r="B2866" s="672"/>
      <c r="C2866" s="672"/>
      <c r="D2866" s="672"/>
      <c r="E2866" s="676" t="s">
        <v>1155</v>
      </c>
      <c r="F2866" s="680" t="s">
        <v>3790</v>
      </c>
      <c r="G2866" s="710">
        <v>895</v>
      </c>
      <c r="H2866" s="682">
        <v>2840</v>
      </c>
      <c r="J2866" s="668" t="str">
        <f t="shared" ref="J2866:J2867" si="502">E2866</f>
        <v>(1) Miscellaneous Non-Public Expenditures</v>
      </c>
      <c r="L2866" s="668">
        <v>139</v>
      </c>
      <c r="M2866" s="669">
        <v>129</v>
      </c>
      <c r="N2866" s="668"/>
      <c r="O2866" s="668">
        <v>20</v>
      </c>
      <c r="P2866" s="668" t="str">
        <f>IFERROR(VLOOKUP(F2866, [2]MOE!B:C, 2, FALSE), "No")</f>
        <v>No</v>
      </c>
      <c r="Q2866" s="711"/>
      <c r="S2866" s="670" t="s">
        <v>3749</v>
      </c>
      <c r="T2866" s="668" t="s">
        <v>1061</v>
      </c>
    </row>
    <row r="2867" spans="1:20">
      <c r="A2867" s="679">
        <v>8002840</v>
      </c>
      <c r="B2867" s="672"/>
      <c r="C2867" s="672"/>
      <c r="D2867" s="672"/>
      <c r="E2867" s="676" t="s">
        <v>1157</v>
      </c>
      <c r="F2867" s="680" t="s">
        <v>3791</v>
      </c>
      <c r="G2867" s="710">
        <v>800</v>
      </c>
      <c r="H2867" s="682">
        <v>2840</v>
      </c>
      <c r="J2867" s="668" t="str">
        <f t="shared" si="502"/>
        <v>(2) Other Miscellaneous Expenditures</v>
      </c>
      <c r="L2867" s="668">
        <v>139</v>
      </c>
      <c r="M2867" s="669">
        <v>129</v>
      </c>
      <c r="N2867" s="668"/>
      <c r="O2867" s="668">
        <v>20</v>
      </c>
      <c r="P2867" s="668" t="str">
        <f>IFERROR(VLOOKUP(F2867, [2]MOE!B:C, 2, FALSE), "No")</f>
        <v>No</v>
      </c>
      <c r="Q2867" s="711"/>
      <c r="S2867" s="670" t="s">
        <v>3749</v>
      </c>
      <c r="T2867" s="668" t="s">
        <v>1063</v>
      </c>
    </row>
    <row r="2868" spans="1:20">
      <c r="A2868" s="671"/>
      <c r="B2868" s="672"/>
      <c r="C2868" s="672"/>
      <c r="D2868" s="672" t="s">
        <v>859</v>
      </c>
      <c r="E2868" s="676" t="s">
        <v>3792</v>
      </c>
      <c r="F2868" s="675"/>
      <c r="G2868" s="672"/>
      <c r="H2868" s="676"/>
      <c r="Q2868" s="711"/>
      <c r="S2868" s="670"/>
    </row>
    <row r="2869" spans="1:20">
      <c r="A2869" s="679">
        <v>2102840</v>
      </c>
      <c r="B2869" s="672"/>
      <c r="C2869" s="672"/>
      <c r="D2869" s="672"/>
      <c r="E2869" s="676" t="s">
        <v>1159</v>
      </c>
      <c r="F2869" s="680" t="s">
        <v>3793</v>
      </c>
      <c r="G2869" s="710">
        <v>210</v>
      </c>
      <c r="H2869" s="682">
        <v>2840</v>
      </c>
      <c r="J2869" s="668" t="str">
        <f t="shared" ref="J2869:J2871" si="503">E2869</f>
        <v>(1) Group Insurance</v>
      </c>
      <c r="L2869" s="668">
        <v>89</v>
      </c>
      <c r="M2869" s="669">
        <v>84</v>
      </c>
      <c r="N2869" s="668"/>
      <c r="O2869" s="668">
        <v>20</v>
      </c>
      <c r="P2869" s="668" t="str">
        <f>IFERROR(VLOOKUP(F2869, [2]MOE!B:C, 2, FALSE), "No")</f>
        <v>No</v>
      </c>
      <c r="Q2869" s="711"/>
      <c r="S2869" s="670" t="s">
        <v>3749</v>
      </c>
      <c r="T2869" s="668" t="s">
        <v>1066</v>
      </c>
    </row>
    <row r="2870" spans="1:20">
      <c r="A2870" s="679">
        <v>2202840</v>
      </c>
      <c r="B2870" s="672"/>
      <c r="C2870" s="672"/>
      <c r="D2870" s="672"/>
      <c r="E2870" s="676" t="s">
        <v>1161</v>
      </c>
      <c r="F2870" s="680" t="s">
        <v>3794</v>
      </c>
      <c r="G2870" s="710">
        <v>220</v>
      </c>
      <c r="H2870" s="682">
        <v>2840</v>
      </c>
      <c r="J2870" s="668" t="str">
        <f t="shared" si="503"/>
        <v>(2) FICA</v>
      </c>
      <c r="L2870" s="668">
        <v>90</v>
      </c>
      <c r="M2870" s="669">
        <v>85</v>
      </c>
      <c r="N2870" s="668"/>
      <c r="O2870" s="668">
        <v>20</v>
      </c>
      <c r="P2870" s="668" t="str">
        <f>IFERROR(VLOOKUP(F2870, [2]MOE!B:C, 2, FALSE), "No")</f>
        <v>No</v>
      </c>
      <c r="Q2870" s="711"/>
      <c r="S2870" s="670" t="s">
        <v>3749</v>
      </c>
      <c r="T2870" s="668" t="s">
        <v>1068</v>
      </c>
    </row>
    <row r="2871" spans="1:20">
      <c r="A2871" s="679">
        <v>2252840</v>
      </c>
      <c r="B2871" s="672"/>
      <c r="C2871" s="672"/>
      <c r="D2871" s="672"/>
      <c r="E2871" s="676" t="s">
        <v>1163</v>
      </c>
      <c r="F2871" s="680" t="s">
        <v>3795</v>
      </c>
      <c r="G2871" s="710">
        <v>225</v>
      </c>
      <c r="H2871" s="682">
        <v>2840</v>
      </c>
      <c r="J2871" s="668" t="str">
        <f t="shared" si="503"/>
        <v>(3) Medicare</v>
      </c>
      <c r="L2871" s="668">
        <v>91</v>
      </c>
      <c r="M2871" s="669">
        <v>86</v>
      </c>
      <c r="N2871" s="668"/>
      <c r="O2871" s="668">
        <v>20</v>
      </c>
      <c r="P2871" s="668" t="str">
        <f>IFERROR(VLOOKUP(F2871, [2]MOE!B:C, 2, FALSE), "No")</f>
        <v>No</v>
      </c>
      <c r="Q2871" s="711"/>
      <c r="S2871" s="670" t="s">
        <v>3749</v>
      </c>
      <c r="T2871" s="668" t="s">
        <v>23</v>
      </c>
    </row>
    <row r="2872" spans="1:20">
      <c r="A2872" s="671"/>
      <c r="B2872" s="672"/>
      <c r="C2872" s="672"/>
      <c r="D2872" s="672"/>
      <c r="E2872" s="676" t="s">
        <v>1165</v>
      </c>
      <c r="F2872" s="675"/>
      <c r="G2872" s="672"/>
      <c r="H2872" s="676"/>
      <c r="Q2872" s="711"/>
      <c r="S2872" s="670"/>
    </row>
    <row r="2873" spans="1:20">
      <c r="A2873" s="679">
        <v>2312840</v>
      </c>
      <c r="B2873" s="672"/>
      <c r="C2873" s="672"/>
      <c r="D2873" s="672"/>
      <c r="E2873" s="676" t="s">
        <v>1166</v>
      </c>
      <c r="F2873" s="680" t="s">
        <v>3796</v>
      </c>
      <c r="G2873" s="710">
        <v>231</v>
      </c>
      <c r="H2873" s="682">
        <v>2840</v>
      </c>
      <c r="J2873" s="668" t="str">
        <f t="shared" ref="J2873:J2881" si="504">E2873</f>
        <v>(a) Louisiana Teachers Retirement</v>
      </c>
      <c r="L2873" s="668">
        <v>92</v>
      </c>
      <c r="M2873" s="669">
        <v>87</v>
      </c>
      <c r="N2873" s="668"/>
      <c r="O2873" s="668">
        <v>20</v>
      </c>
      <c r="P2873" s="668" t="str">
        <f>IFERROR(VLOOKUP(F2873, [2]MOE!B:C, 2, FALSE), "No")</f>
        <v>No</v>
      </c>
      <c r="Q2873" s="711"/>
      <c r="S2873" s="670" t="s">
        <v>3749</v>
      </c>
      <c r="T2873" s="668" t="s">
        <v>1074</v>
      </c>
    </row>
    <row r="2874" spans="1:20">
      <c r="A2874" s="679">
        <v>2332840</v>
      </c>
      <c r="B2874" s="672"/>
      <c r="C2874" s="672"/>
      <c r="D2874" s="672"/>
      <c r="E2874" s="676" t="s">
        <v>1168</v>
      </c>
      <c r="F2874" s="680" t="s">
        <v>3797</v>
      </c>
      <c r="G2874" s="710">
        <v>233</v>
      </c>
      <c r="H2874" s="682">
        <v>2840</v>
      </c>
      <c r="J2874" s="668" t="str">
        <f t="shared" si="504"/>
        <v>(b) Louisiana School Emp. Retirement</v>
      </c>
      <c r="L2874" s="668">
        <v>92</v>
      </c>
      <c r="M2874" s="669">
        <v>87</v>
      </c>
      <c r="N2874" s="668"/>
      <c r="O2874" s="668">
        <v>20</v>
      </c>
      <c r="P2874" s="668" t="str">
        <f>IFERROR(VLOOKUP(F2874, [2]MOE!B:C, 2, FALSE), "No")</f>
        <v>No</v>
      </c>
      <c r="Q2874" s="711"/>
      <c r="S2874" s="670" t="s">
        <v>3749</v>
      </c>
      <c r="T2874" s="668" t="s">
        <v>1170</v>
      </c>
    </row>
    <row r="2875" spans="1:20">
      <c r="A2875" s="679">
        <v>2392840</v>
      </c>
      <c r="B2875" s="672"/>
      <c r="C2875" s="672"/>
      <c r="D2875" s="672"/>
      <c r="E2875" s="676" t="s">
        <v>1171</v>
      </c>
      <c r="F2875" s="680" t="s">
        <v>3798</v>
      </c>
      <c r="G2875" s="710">
        <v>239</v>
      </c>
      <c r="H2875" s="682">
        <v>2840</v>
      </c>
      <c r="J2875" s="668" t="str">
        <f t="shared" si="504"/>
        <v>(c) Other Retirement</v>
      </c>
      <c r="L2875" s="668">
        <v>92</v>
      </c>
      <c r="M2875" s="669">
        <v>87</v>
      </c>
      <c r="N2875" s="668"/>
      <c r="O2875" s="668">
        <v>20</v>
      </c>
      <c r="P2875" s="668" t="str">
        <f>IFERROR(VLOOKUP(F2875, [2]MOE!B:C, 2, FALSE), "No")</f>
        <v>No</v>
      </c>
      <c r="Q2875" s="711"/>
      <c r="S2875" s="670" t="s">
        <v>3749</v>
      </c>
      <c r="T2875" s="668" t="s">
        <v>1080</v>
      </c>
    </row>
    <row r="2876" spans="1:20">
      <c r="A2876" s="679">
        <v>2502840</v>
      </c>
      <c r="B2876" s="672"/>
      <c r="C2876" s="672"/>
      <c r="D2876" s="672"/>
      <c r="E2876" s="676" t="s">
        <v>1173</v>
      </c>
      <c r="F2876" s="680" t="s">
        <v>3799</v>
      </c>
      <c r="G2876" s="710">
        <v>250</v>
      </c>
      <c r="H2876" s="682">
        <v>2840</v>
      </c>
      <c r="J2876" s="668" t="str">
        <f t="shared" si="504"/>
        <v>(5) Unemployment Compensation</v>
      </c>
      <c r="L2876" s="668">
        <v>93</v>
      </c>
      <c r="M2876" s="669">
        <v>88</v>
      </c>
      <c r="N2876" s="668"/>
      <c r="O2876" s="668">
        <v>20</v>
      </c>
      <c r="P2876" s="668" t="str">
        <f>IFERROR(VLOOKUP(F2876, [2]MOE!B:C, 2, FALSE), "No")</f>
        <v>No</v>
      </c>
      <c r="Q2876" s="711"/>
      <c r="S2876" s="670" t="s">
        <v>3749</v>
      </c>
      <c r="T2876" s="668" t="s">
        <v>1081</v>
      </c>
    </row>
    <row r="2877" spans="1:20">
      <c r="A2877" s="679">
        <v>2602840</v>
      </c>
      <c r="B2877" s="672"/>
      <c r="C2877" s="672"/>
      <c r="D2877" s="672"/>
      <c r="E2877" s="676" t="s">
        <v>1175</v>
      </c>
      <c r="F2877" s="680" t="s">
        <v>3800</v>
      </c>
      <c r="G2877" s="710">
        <v>260</v>
      </c>
      <c r="H2877" s="682">
        <v>2840</v>
      </c>
      <c r="J2877" s="668" t="str">
        <f t="shared" si="504"/>
        <v>(6) Workmen's Compensation</v>
      </c>
      <c r="L2877" s="668">
        <v>95</v>
      </c>
      <c r="M2877" s="669">
        <v>90</v>
      </c>
      <c r="N2877" s="668"/>
      <c r="O2877" s="668">
        <v>20</v>
      </c>
      <c r="P2877" s="668" t="str">
        <f>IFERROR(VLOOKUP(F2877, [2]MOE!B:C, 2, FALSE), "No")</f>
        <v>No</v>
      </c>
      <c r="Q2877" s="711"/>
      <c r="S2877" s="670" t="s">
        <v>3749</v>
      </c>
      <c r="T2877" s="668" t="s">
        <v>1083</v>
      </c>
    </row>
    <row r="2878" spans="1:20">
      <c r="A2878" s="679">
        <v>2702840</v>
      </c>
      <c r="B2878" s="672"/>
      <c r="C2878" s="672"/>
      <c r="D2878" s="672"/>
      <c r="E2878" s="676" t="s">
        <v>1177</v>
      </c>
      <c r="F2878" s="680" t="s">
        <v>3801</v>
      </c>
      <c r="G2878" s="710">
        <v>270</v>
      </c>
      <c r="H2878" s="682">
        <v>2840</v>
      </c>
      <c r="J2878" s="668" t="str">
        <f t="shared" si="504"/>
        <v>(7) Health Benefits (retirees)</v>
      </c>
      <c r="L2878" s="668">
        <v>94</v>
      </c>
      <c r="M2878" s="669">
        <v>89</v>
      </c>
      <c r="N2878" s="668"/>
      <c r="O2878" s="668">
        <v>20</v>
      </c>
      <c r="P2878" s="668" t="str">
        <f>IFERROR(VLOOKUP(F2878, [2]MOE!B:C, 2, FALSE), "No")</f>
        <v>No</v>
      </c>
      <c r="Q2878" s="711"/>
      <c r="S2878" s="670" t="s">
        <v>3749</v>
      </c>
      <c r="T2878" s="668" t="s">
        <v>1085</v>
      </c>
    </row>
    <row r="2879" spans="1:20">
      <c r="A2879" s="679">
        <v>2812840</v>
      </c>
      <c r="B2879" s="672"/>
      <c r="C2879" s="672"/>
      <c r="D2879" s="672"/>
      <c r="E2879" s="676" t="s">
        <v>1179</v>
      </c>
      <c r="F2879" s="680" t="s">
        <v>3802</v>
      </c>
      <c r="G2879" s="710">
        <v>281</v>
      </c>
      <c r="H2879" s="682">
        <v>2840</v>
      </c>
      <c r="J2879" s="668" t="str">
        <f t="shared" si="504"/>
        <v>(8) Sick Leave Severance Pay</v>
      </c>
      <c r="L2879" s="668">
        <v>95</v>
      </c>
      <c r="M2879" s="669">
        <v>90</v>
      </c>
      <c r="N2879" s="668"/>
      <c r="O2879" s="668">
        <v>20</v>
      </c>
      <c r="P2879" s="668" t="str">
        <f>IFERROR(VLOOKUP(F2879, [2]MOE!B:C, 2, FALSE), "No")</f>
        <v>No</v>
      </c>
      <c r="Q2879" s="711"/>
      <c r="S2879" s="670" t="s">
        <v>3749</v>
      </c>
      <c r="T2879" s="668" t="s">
        <v>1087</v>
      </c>
    </row>
    <row r="2880" spans="1:20">
      <c r="A2880" s="679">
        <v>2822840</v>
      </c>
      <c r="B2880" s="672"/>
      <c r="C2880" s="672"/>
      <c r="D2880" s="672"/>
      <c r="E2880" s="676" t="s">
        <v>1181</v>
      </c>
      <c r="F2880" s="680" t="s">
        <v>3803</v>
      </c>
      <c r="G2880" s="710">
        <v>282</v>
      </c>
      <c r="H2880" s="682">
        <v>2840</v>
      </c>
      <c r="J2880" s="668" t="str">
        <f t="shared" si="504"/>
        <v>(9) Annual Leave Severance Pay</v>
      </c>
      <c r="L2880" s="668">
        <v>95</v>
      </c>
      <c r="M2880" s="669">
        <v>90</v>
      </c>
      <c r="N2880" s="668"/>
      <c r="O2880" s="668">
        <v>20</v>
      </c>
      <c r="P2880" s="668" t="str">
        <f>IFERROR(VLOOKUP(F2880, [2]MOE!B:C, 2, FALSE), "No")</f>
        <v>No</v>
      </c>
      <c r="Q2880" s="711"/>
      <c r="S2880" s="670" t="s">
        <v>3749</v>
      </c>
      <c r="T2880" s="668" t="s">
        <v>1089</v>
      </c>
    </row>
    <row r="2881" spans="1:20">
      <c r="A2881" s="679">
        <v>2902840</v>
      </c>
      <c r="B2881" s="672"/>
      <c r="C2881" s="672"/>
      <c r="D2881" s="672"/>
      <c r="E2881" s="676" t="s">
        <v>1183</v>
      </c>
      <c r="F2881" s="680" t="s">
        <v>3804</v>
      </c>
      <c r="G2881" s="710">
        <v>290</v>
      </c>
      <c r="H2881" s="682">
        <v>2840</v>
      </c>
      <c r="J2881" s="668" t="str">
        <f t="shared" si="504"/>
        <v>(10) Other Employee Benefits</v>
      </c>
      <c r="L2881" s="668">
        <v>95</v>
      </c>
      <c r="M2881" s="669">
        <v>90</v>
      </c>
      <c r="N2881" s="668"/>
      <c r="O2881" s="668">
        <v>20</v>
      </c>
      <c r="P2881" s="668" t="str">
        <f>IFERROR(VLOOKUP(F2881, [2]MOE!B:C, 2, FALSE), "No")</f>
        <v>No</v>
      </c>
      <c r="Q2881" s="711"/>
      <c r="S2881" s="670" t="s">
        <v>3749</v>
      </c>
      <c r="T2881" s="668" t="s">
        <v>1092</v>
      </c>
    </row>
    <row r="2882" spans="1:20">
      <c r="A2882" s="671"/>
      <c r="B2882" s="672"/>
      <c r="C2882" s="678">
        <v>89</v>
      </c>
      <c r="D2882" s="925" t="s">
        <v>3805</v>
      </c>
      <c r="E2882" s="926"/>
      <c r="F2882" s="675"/>
      <c r="G2882" s="672"/>
      <c r="H2882" s="676"/>
      <c r="Q2882" s="711"/>
      <c r="S2882" s="670"/>
    </row>
    <row r="2883" spans="1:20">
      <c r="A2883" s="671"/>
      <c r="B2883" s="672"/>
      <c r="C2883" s="672"/>
      <c r="D2883" s="672" t="s">
        <v>759</v>
      </c>
      <c r="E2883" s="676" t="s">
        <v>244</v>
      </c>
      <c r="F2883" s="675"/>
      <c r="G2883" s="672"/>
      <c r="H2883" s="676"/>
      <c r="Q2883" s="711"/>
      <c r="S2883" s="670"/>
    </row>
    <row r="2884" spans="1:20">
      <c r="A2884" s="679">
        <v>1102890</v>
      </c>
      <c r="B2884" s="672"/>
      <c r="C2884" s="672"/>
      <c r="D2884" s="672"/>
      <c r="E2884" s="676" t="s">
        <v>3806</v>
      </c>
      <c r="F2884" s="680" t="s">
        <v>3807</v>
      </c>
      <c r="G2884" s="710">
        <v>110</v>
      </c>
      <c r="H2884" s="682">
        <v>2890</v>
      </c>
      <c r="J2884" s="668" t="str">
        <f t="shared" ref="J2884:J2892" si="505">E2884</f>
        <v>(1) Other Regular Salaries - Central Svcs</v>
      </c>
      <c r="L2884" s="668">
        <v>86</v>
      </c>
      <c r="M2884" s="669">
        <v>81</v>
      </c>
      <c r="N2884" s="668"/>
      <c r="O2884" s="668">
        <v>20</v>
      </c>
      <c r="P2884" s="668" t="str">
        <f>IFERROR(VLOOKUP(F2884, [2]MOE!B:C, 2, FALSE), "No")</f>
        <v>No</v>
      </c>
      <c r="Q2884" s="711"/>
      <c r="S2884" s="670" t="s">
        <v>3805</v>
      </c>
      <c r="T2884" s="668" t="s">
        <v>3808</v>
      </c>
    </row>
    <row r="2885" spans="1:20">
      <c r="A2885" s="679">
        <v>1202890</v>
      </c>
      <c r="B2885" s="672"/>
      <c r="C2885" s="672"/>
      <c r="D2885" s="672"/>
      <c r="E2885" s="676" t="s">
        <v>3809</v>
      </c>
      <c r="F2885" s="680" t="s">
        <v>3810</v>
      </c>
      <c r="G2885" s="710">
        <v>120</v>
      </c>
      <c r="H2885" s="682">
        <v>2890</v>
      </c>
      <c r="J2885" s="668" t="str">
        <f t="shared" si="505"/>
        <v>(2) Other Sub./Temp. Emp. - Central Svcs</v>
      </c>
      <c r="L2885" s="668">
        <v>86</v>
      </c>
      <c r="M2885" s="669">
        <v>81</v>
      </c>
      <c r="N2885" s="668"/>
      <c r="O2885" s="668">
        <v>20</v>
      </c>
      <c r="P2885" s="668" t="str">
        <f>IFERROR(VLOOKUP(F2885, [2]MOE!B:C, 2, FALSE), "No")</f>
        <v>No</v>
      </c>
      <c r="Q2885" s="711"/>
      <c r="S2885" s="670" t="s">
        <v>3805</v>
      </c>
      <c r="T2885" s="668" t="s">
        <v>3811</v>
      </c>
    </row>
    <row r="2886" spans="1:20">
      <c r="A2886" s="679">
        <v>1402890</v>
      </c>
      <c r="B2886" s="672"/>
      <c r="C2886" s="672"/>
      <c r="D2886" s="672"/>
      <c r="E2886" s="676" t="s">
        <v>3812</v>
      </c>
      <c r="F2886" s="680" t="s">
        <v>3813</v>
      </c>
      <c r="G2886" s="710">
        <v>140</v>
      </c>
      <c r="H2886" s="682">
        <v>2890</v>
      </c>
      <c r="J2886" s="668" t="str">
        <f t="shared" si="505"/>
        <v>(3) Other Sabbatical Leave - Central Svcs</v>
      </c>
      <c r="L2886" s="668">
        <v>86</v>
      </c>
      <c r="M2886" s="669">
        <v>81</v>
      </c>
      <c r="N2886" s="668"/>
      <c r="O2886" s="668">
        <v>20</v>
      </c>
      <c r="P2886" s="668" t="str">
        <f>IFERROR(VLOOKUP(F2886, [2]MOE!B:C, 2, FALSE), "No")</f>
        <v>No</v>
      </c>
      <c r="Q2886" s="711"/>
      <c r="S2886" s="670" t="s">
        <v>3805</v>
      </c>
      <c r="T2886" s="668" t="s">
        <v>3814</v>
      </c>
    </row>
    <row r="2887" spans="1:20">
      <c r="A2887" s="679">
        <v>1002890</v>
      </c>
      <c r="B2887" s="672"/>
      <c r="C2887" s="672"/>
      <c r="D2887" s="672"/>
      <c r="E2887" s="676" t="s">
        <v>3815</v>
      </c>
      <c r="F2887" s="680" t="s">
        <v>3816</v>
      </c>
      <c r="G2887" s="710">
        <v>100</v>
      </c>
      <c r="H2887" s="682">
        <v>2890</v>
      </c>
      <c r="J2887" s="668" t="str">
        <f t="shared" si="505"/>
        <v>(4) All Other Salaries - Central Services</v>
      </c>
      <c r="L2887" s="668">
        <v>86</v>
      </c>
      <c r="M2887" s="669">
        <v>81</v>
      </c>
      <c r="N2887" s="668"/>
      <c r="O2887" s="668">
        <v>20</v>
      </c>
      <c r="P2887" s="668" t="str">
        <f>IFERROR(VLOOKUP(F2887, [2]MOE!B:C, 2, FALSE), "No")</f>
        <v>No</v>
      </c>
      <c r="Q2887" s="711"/>
      <c r="S2887" s="670" t="s">
        <v>3805</v>
      </c>
      <c r="T2887" s="668" t="s">
        <v>3817</v>
      </c>
    </row>
    <row r="2888" spans="1:20">
      <c r="A2888" s="679">
        <v>3002890</v>
      </c>
      <c r="B2888" s="672"/>
      <c r="C2888" s="672"/>
      <c r="D2888" s="672" t="s">
        <v>777</v>
      </c>
      <c r="E2888" s="676" t="s">
        <v>1113</v>
      </c>
      <c r="F2888" s="680" t="s">
        <v>3818</v>
      </c>
      <c r="G2888" s="710">
        <v>300</v>
      </c>
      <c r="H2888" s="682">
        <v>2890</v>
      </c>
      <c r="J2888" s="668" t="str">
        <f t="shared" si="505"/>
        <v>Purchased Professional and Technical Svcs</v>
      </c>
      <c r="L2888" s="668">
        <v>101</v>
      </c>
      <c r="M2888" s="669">
        <v>96</v>
      </c>
      <c r="N2888" s="668"/>
      <c r="O2888" s="668">
        <v>20</v>
      </c>
      <c r="P2888" s="668" t="str">
        <f>IFERROR(VLOOKUP(F2888, [2]MOE!B:C, 2, FALSE), "No")</f>
        <v>No</v>
      </c>
      <c r="Q2888" s="711"/>
      <c r="S2888" s="670" t="s">
        <v>3805</v>
      </c>
      <c r="T2888" s="668" t="s">
        <v>1113</v>
      </c>
    </row>
    <row r="2889" spans="1:20">
      <c r="A2889" s="679">
        <v>4002890</v>
      </c>
      <c r="B2889" s="672"/>
      <c r="C2889" s="672"/>
      <c r="D2889" s="672" t="s">
        <v>801</v>
      </c>
      <c r="E2889" s="676" t="s">
        <v>250</v>
      </c>
      <c r="F2889" s="680" t="s">
        <v>3819</v>
      </c>
      <c r="G2889" s="710">
        <v>400</v>
      </c>
      <c r="H2889" s="682">
        <v>2890</v>
      </c>
      <c r="J2889" s="668" t="str">
        <f t="shared" si="505"/>
        <v>Purchased Property Services</v>
      </c>
      <c r="L2889" s="668">
        <v>108</v>
      </c>
      <c r="M2889" s="669">
        <v>103</v>
      </c>
      <c r="N2889" s="668"/>
      <c r="O2889" s="668">
        <v>20</v>
      </c>
      <c r="P2889" s="668" t="str">
        <f>IFERROR(VLOOKUP(F2889, [2]MOE!B:C, 2, FALSE), "No")</f>
        <v>No</v>
      </c>
      <c r="Q2889" s="711"/>
      <c r="S2889" s="670" t="s">
        <v>3805</v>
      </c>
      <c r="T2889" s="668" t="s">
        <v>250</v>
      </c>
    </row>
    <row r="2890" spans="1:20">
      <c r="A2890" s="679">
        <v>5002890</v>
      </c>
      <c r="B2890" s="672"/>
      <c r="C2890" s="672"/>
      <c r="D2890" s="672" t="s">
        <v>805</v>
      </c>
      <c r="E2890" s="676" t="s">
        <v>252</v>
      </c>
      <c r="F2890" s="680" t="s">
        <v>3820</v>
      </c>
      <c r="G2890" s="710">
        <v>500</v>
      </c>
      <c r="H2890" s="682">
        <v>2890</v>
      </c>
      <c r="J2890" s="668" t="str">
        <f t="shared" si="505"/>
        <v>Other Purchased Services</v>
      </c>
      <c r="L2890" s="668">
        <v>119</v>
      </c>
      <c r="M2890" s="669">
        <v>110</v>
      </c>
      <c r="N2890" s="668"/>
      <c r="O2890" s="668">
        <v>20</v>
      </c>
      <c r="P2890" s="668" t="str">
        <f>IFERROR(VLOOKUP(F2890, [2]MOE!B:C, 2, FALSE), "No")</f>
        <v>No</v>
      </c>
      <c r="Q2890" s="711"/>
      <c r="S2890" s="670" t="s">
        <v>3805</v>
      </c>
      <c r="T2890" s="668" t="s">
        <v>252</v>
      </c>
    </row>
    <row r="2891" spans="1:20">
      <c r="A2891" s="679">
        <v>6002890</v>
      </c>
      <c r="B2891" s="672"/>
      <c r="C2891" s="672"/>
      <c r="D2891" s="672" t="s">
        <v>850</v>
      </c>
      <c r="E2891" s="676" t="s">
        <v>254</v>
      </c>
      <c r="F2891" s="680" t="s">
        <v>3821</v>
      </c>
      <c r="G2891" s="710">
        <v>600</v>
      </c>
      <c r="H2891" s="682">
        <v>2890</v>
      </c>
      <c r="J2891" s="668" t="str">
        <f t="shared" si="505"/>
        <v>Supplies</v>
      </c>
      <c r="L2891" s="668">
        <v>126</v>
      </c>
      <c r="M2891" s="669">
        <v>117</v>
      </c>
      <c r="N2891" s="668"/>
      <c r="O2891" s="668">
        <v>20</v>
      </c>
      <c r="P2891" s="668" t="str">
        <f>IFERROR(VLOOKUP(F2891, [2]MOE!B:C, 2, FALSE), "No")</f>
        <v>No</v>
      </c>
      <c r="Q2891" s="711"/>
      <c r="S2891" s="670" t="s">
        <v>3805</v>
      </c>
      <c r="T2891" s="668" t="s">
        <v>254</v>
      </c>
    </row>
    <row r="2892" spans="1:20">
      <c r="A2892" s="679">
        <v>7002890</v>
      </c>
      <c r="B2892" s="672"/>
      <c r="C2892" s="672"/>
      <c r="D2892" s="672" t="s">
        <v>853</v>
      </c>
      <c r="E2892" s="676" t="s">
        <v>1052</v>
      </c>
      <c r="F2892" s="680" t="s">
        <v>3822</v>
      </c>
      <c r="G2892" s="710">
        <v>700</v>
      </c>
      <c r="H2892" s="682">
        <v>2890</v>
      </c>
      <c r="J2892" s="668" t="str">
        <f t="shared" si="505"/>
        <v>Property/Equipment</v>
      </c>
      <c r="L2892" s="668">
        <v>132</v>
      </c>
      <c r="M2892" s="669">
        <v>123</v>
      </c>
      <c r="N2892" s="668"/>
      <c r="O2892" s="668">
        <v>20</v>
      </c>
      <c r="P2892" s="668" t="str">
        <f>IFERROR(VLOOKUP(F2892, [2]MOE!B:C, 2, FALSE), "No")</f>
        <v>No</v>
      </c>
      <c r="Q2892" s="711"/>
      <c r="S2892" s="670" t="s">
        <v>3805</v>
      </c>
      <c r="T2892" s="668" t="s">
        <v>1052</v>
      </c>
    </row>
    <row r="2893" spans="1:20">
      <c r="A2893" s="671"/>
      <c r="B2893" s="672"/>
      <c r="C2893" s="672"/>
      <c r="D2893" s="672" t="s">
        <v>856</v>
      </c>
      <c r="E2893" s="676" t="s">
        <v>256</v>
      </c>
      <c r="F2893" s="675"/>
      <c r="G2893" s="672"/>
      <c r="H2893" s="676"/>
      <c r="Q2893" s="711"/>
      <c r="S2893" s="670"/>
    </row>
    <row r="2894" spans="1:20">
      <c r="A2894" s="679">
        <v>8952890</v>
      </c>
      <c r="B2894" s="672"/>
      <c r="C2894" s="672"/>
      <c r="D2894" s="672"/>
      <c r="E2894" s="676" t="s">
        <v>1155</v>
      </c>
      <c r="F2894" s="680" t="s">
        <v>3823</v>
      </c>
      <c r="G2894" s="710">
        <v>895</v>
      </c>
      <c r="H2894" s="682">
        <v>2890</v>
      </c>
      <c r="J2894" s="668" t="str">
        <f t="shared" ref="J2894:J2895" si="506">E2894</f>
        <v>(1) Miscellaneous Non-Public Expenditures</v>
      </c>
      <c r="L2894" s="668">
        <v>139</v>
      </c>
      <c r="M2894" s="669">
        <v>129</v>
      </c>
      <c r="N2894" s="668"/>
      <c r="O2894" s="668">
        <v>20</v>
      </c>
      <c r="P2894" s="668" t="str">
        <f>IFERROR(VLOOKUP(F2894, [2]MOE!B:C, 2, FALSE), "No")</f>
        <v>No</v>
      </c>
      <c r="Q2894" s="711"/>
      <c r="S2894" s="670" t="s">
        <v>3805</v>
      </c>
      <c r="T2894" s="668" t="s">
        <v>1061</v>
      </c>
    </row>
    <row r="2895" spans="1:20">
      <c r="A2895" s="679">
        <v>8002890</v>
      </c>
      <c r="B2895" s="672"/>
      <c r="C2895" s="672"/>
      <c r="D2895" s="672"/>
      <c r="E2895" s="676" t="s">
        <v>1157</v>
      </c>
      <c r="F2895" s="680" t="s">
        <v>3824</v>
      </c>
      <c r="G2895" s="710">
        <v>800</v>
      </c>
      <c r="H2895" s="682">
        <v>2890</v>
      </c>
      <c r="J2895" s="668" t="str">
        <f t="shared" si="506"/>
        <v>(2) Other Miscellaneous Expenditures</v>
      </c>
      <c r="L2895" s="668">
        <v>139</v>
      </c>
      <c r="M2895" s="669">
        <v>129</v>
      </c>
      <c r="N2895" s="668"/>
      <c r="O2895" s="668">
        <v>20</v>
      </c>
      <c r="P2895" s="668" t="str">
        <f>IFERROR(VLOOKUP(F2895, [2]MOE!B:C, 2, FALSE), "No")</f>
        <v>No</v>
      </c>
      <c r="Q2895" s="711"/>
      <c r="S2895" s="670" t="s">
        <v>3805</v>
      </c>
      <c r="T2895" s="668" t="s">
        <v>1063</v>
      </c>
    </row>
    <row r="2896" spans="1:20">
      <c r="A2896" s="671"/>
      <c r="B2896" s="672"/>
      <c r="C2896" s="672"/>
      <c r="D2896" s="672" t="s">
        <v>859</v>
      </c>
      <c r="E2896" s="676" t="s">
        <v>1065</v>
      </c>
      <c r="F2896" s="675"/>
      <c r="G2896" s="672"/>
      <c r="H2896" s="676"/>
      <c r="Q2896" s="711"/>
      <c r="S2896" s="670"/>
    </row>
    <row r="2897" spans="1:20">
      <c r="A2897" s="679">
        <v>2102890</v>
      </c>
      <c r="B2897" s="672"/>
      <c r="C2897" s="672"/>
      <c r="D2897" s="672"/>
      <c r="E2897" s="676" t="s">
        <v>1159</v>
      </c>
      <c r="F2897" s="680" t="s">
        <v>3825</v>
      </c>
      <c r="G2897" s="710">
        <v>210</v>
      </c>
      <c r="H2897" s="682">
        <v>2890</v>
      </c>
      <c r="J2897" s="668" t="str">
        <f t="shared" ref="J2897:J2899" si="507">E2897</f>
        <v>(1) Group Insurance</v>
      </c>
      <c r="L2897" s="668">
        <v>89</v>
      </c>
      <c r="M2897" s="669">
        <v>84</v>
      </c>
      <c r="N2897" s="668"/>
      <c r="O2897" s="668">
        <v>20</v>
      </c>
      <c r="P2897" s="668" t="str">
        <f>IFERROR(VLOOKUP(F2897, [2]MOE!B:C, 2, FALSE), "No")</f>
        <v>No</v>
      </c>
      <c r="Q2897" s="711"/>
      <c r="S2897" s="670" t="s">
        <v>3805</v>
      </c>
      <c r="T2897" s="668" t="s">
        <v>1066</v>
      </c>
    </row>
    <row r="2898" spans="1:20">
      <c r="A2898" s="679">
        <v>2202890</v>
      </c>
      <c r="B2898" s="672"/>
      <c r="C2898" s="672"/>
      <c r="D2898" s="672"/>
      <c r="E2898" s="676" t="s">
        <v>1161</v>
      </c>
      <c r="F2898" s="680" t="s">
        <v>3826</v>
      </c>
      <c r="G2898" s="710">
        <v>220</v>
      </c>
      <c r="H2898" s="682">
        <v>2890</v>
      </c>
      <c r="J2898" s="668" t="str">
        <f t="shared" si="507"/>
        <v>(2) FICA</v>
      </c>
      <c r="L2898" s="668">
        <v>90</v>
      </c>
      <c r="M2898" s="669">
        <v>85</v>
      </c>
      <c r="N2898" s="668"/>
      <c r="O2898" s="668">
        <v>20</v>
      </c>
      <c r="P2898" s="668" t="str">
        <f>IFERROR(VLOOKUP(F2898, [2]MOE!B:C, 2, FALSE), "No")</f>
        <v>No</v>
      </c>
      <c r="Q2898" s="711"/>
      <c r="S2898" s="670" t="s">
        <v>3805</v>
      </c>
      <c r="T2898" s="668" t="s">
        <v>1068</v>
      </c>
    </row>
    <row r="2899" spans="1:20">
      <c r="A2899" s="679">
        <v>2252890</v>
      </c>
      <c r="B2899" s="672"/>
      <c r="C2899" s="672"/>
      <c r="D2899" s="672"/>
      <c r="E2899" s="676" t="s">
        <v>1163</v>
      </c>
      <c r="F2899" s="680" t="s">
        <v>3827</v>
      </c>
      <c r="G2899" s="710">
        <v>225</v>
      </c>
      <c r="H2899" s="682">
        <v>2890</v>
      </c>
      <c r="J2899" s="668" t="str">
        <f t="shared" si="507"/>
        <v>(3) Medicare</v>
      </c>
      <c r="L2899" s="668">
        <v>91</v>
      </c>
      <c r="M2899" s="669">
        <v>86</v>
      </c>
      <c r="N2899" s="668"/>
      <c r="O2899" s="668">
        <v>20</v>
      </c>
      <c r="P2899" s="668" t="str">
        <f>IFERROR(VLOOKUP(F2899, [2]MOE!B:C, 2, FALSE), "No")</f>
        <v>No</v>
      </c>
      <c r="Q2899" s="711"/>
      <c r="S2899" s="670" t="s">
        <v>3805</v>
      </c>
      <c r="T2899" s="668" t="s">
        <v>23</v>
      </c>
    </row>
    <row r="2900" spans="1:20">
      <c r="A2900" s="671"/>
      <c r="B2900" s="672"/>
      <c r="C2900" s="672"/>
      <c r="D2900" s="672"/>
      <c r="E2900" s="676" t="s">
        <v>1165</v>
      </c>
      <c r="F2900" s="675"/>
      <c r="G2900" s="672"/>
      <c r="H2900" s="676"/>
      <c r="Q2900" s="711"/>
      <c r="S2900" s="670"/>
    </row>
    <row r="2901" spans="1:20">
      <c r="A2901" s="679">
        <v>2312890</v>
      </c>
      <c r="B2901" s="672"/>
      <c r="C2901" s="672"/>
      <c r="D2901" s="672"/>
      <c r="E2901" s="676" t="s">
        <v>1166</v>
      </c>
      <c r="F2901" s="680" t="s">
        <v>3828</v>
      </c>
      <c r="G2901" s="710">
        <v>231</v>
      </c>
      <c r="H2901" s="682">
        <v>2890</v>
      </c>
      <c r="J2901" s="668" t="str">
        <f t="shared" ref="J2901:J2909" si="508">E2901</f>
        <v>(a) Louisiana Teachers Retirement</v>
      </c>
      <c r="L2901" s="668">
        <v>92</v>
      </c>
      <c r="M2901" s="669">
        <v>87</v>
      </c>
      <c r="N2901" s="668"/>
      <c r="O2901" s="668">
        <v>20</v>
      </c>
      <c r="P2901" s="668" t="str">
        <f>IFERROR(VLOOKUP(F2901, [2]MOE!B:C, 2, FALSE), "No")</f>
        <v>No</v>
      </c>
      <c r="Q2901" s="711"/>
      <c r="S2901" s="670" t="s">
        <v>3805</v>
      </c>
      <c r="T2901" s="668" t="s">
        <v>1074</v>
      </c>
    </row>
    <row r="2902" spans="1:20">
      <c r="A2902" s="679">
        <v>2332890</v>
      </c>
      <c r="B2902" s="672"/>
      <c r="C2902" s="672"/>
      <c r="D2902" s="672"/>
      <c r="E2902" s="676" t="s">
        <v>1168</v>
      </c>
      <c r="F2902" s="680" t="s">
        <v>3829</v>
      </c>
      <c r="G2902" s="710">
        <v>233</v>
      </c>
      <c r="H2902" s="682">
        <v>2890</v>
      </c>
      <c r="J2902" s="668" t="str">
        <f t="shared" si="508"/>
        <v>(b) Louisiana School Emp. Retirement</v>
      </c>
      <c r="L2902" s="668">
        <v>92</v>
      </c>
      <c r="M2902" s="669">
        <v>87</v>
      </c>
      <c r="N2902" s="668"/>
      <c r="O2902" s="668">
        <v>20</v>
      </c>
      <c r="P2902" s="668" t="str">
        <f>IFERROR(VLOOKUP(F2902, [2]MOE!B:C, 2, FALSE), "No")</f>
        <v>No</v>
      </c>
      <c r="Q2902" s="711"/>
      <c r="S2902" s="670" t="s">
        <v>3805</v>
      </c>
      <c r="T2902" s="668" t="s">
        <v>1170</v>
      </c>
    </row>
    <row r="2903" spans="1:20">
      <c r="A2903" s="679">
        <v>2392890</v>
      </c>
      <c r="B2903" s="672"/>
      <c r="C2903" s="672"/>
      <c r="D2903" s="672"/>
      <c r="E2903" s="676" t="s">
        <v>1171</v>
      </c>
      <c r="F2903" s="680" t="s">
        <v>3830</v>
      </c>
      <c r="G2903" s="710">
        <v>239</v>
      </c>
      <c r="H2903" s="682">
        <v>2890</v>
      </c>
      <c r="J2903" s="668" t="str">
        <f t="shared" si="508"/>
        <v>(c) Other Retirement</v>
      </c>
      <c r="L2903" s="668">
        <v>92</v>
      </c>
      <c r="M2903" s="669">
        <v>87</v>
      </c>
      <c r="N2903" s="668"/>
      <c r="O2903" s="668">
        <v>20</v>
      </c>
      <c r="P2903" s="668" t="str">
        <f>IFERROR(VLOOKUP(F2903, [2]MOE!B:C, 2, FALSE), "No")</f>
        <v>No</v>
      </c>
      <c r="Q2903" s="711"/>
      <c r="S2903" s="670" t="s">
        <v>3805</v>
      </c>
      <c r="T2903" s="668" t="s">
        <v>1080</v>
      </c>
    </row>
    <row r="2904" spans="1:20">
      <c r="A2904" s="679">
        <v>2502890</v>
      </c>
      <c r="B2904" s="672"/>
      <c r="C2904" s="672"/>
      <c r="D2904" s="672"/>
      <c r="E2904" s="676" t="s">
        <v>1173</v>
      </c>
      <c r="F2904" s="680" t="s">
        <v>3831</v>
      </c>
      <c r="G2904" s="710">
        <v>250</v>
      </c>
      <c r="H2904" s="682">
        <v>2890</v>
      </c>
      <c r="J2904" s="668" t="str">
        <f t="shared" si="508"/>
        <v>(5) Unemployment Compensation</v>
      </c>
      <c r="L2904" s="668">
        <v>93</v>
      </c>
      <c r="M2904" s="669">
        <v>88</v>
      </c>
      <c r="N2904" s="668"/>
      <c r="O2904" s="668">
        <v>20</v>
      </c>
      <c r="P2904" s="668" t="str">
        <f>IFERROR(VLOOKUP(F2904, [2]MOE!B:C, 2, FALSE), "No")</f>
        <v>No</v>
      </c>
      <c r="Q2904" s="711"/>
      <c r="S2904" s="670" t="s">
        <v>3805</v>
      </c>
      <c r="T2904" s="668" t="s">
        <v>1081</v>
      </c>
    </row>
    <row r="2905" spans="1:20">
      <c r="A2905" s="679">
        <v>2602890</v>
      </c>
      <c r="B2905" s="672"/>
      <c r="C2905" s="672"/>
      <c r="D2905" s="672"/>
      <c r="E2905" s="676" t="s">
        <v>1175</v>
      </c>
      <c r="F2905" s="680" t="s">
        <v>3832</v>
      </c>
      <c r="G2905" s="710">
        <v>260</v>
      </c>
      <c r="H2905" s="682">
        <v>2890</v>
      </c>
      <c r="J2905" s="668" t="str">
        <f t="shared" si="508"/>
        <v>(6) Workmen's Compensation</v>
      </c>
      <c r="L2905" s="668">
        <v>95</v>
      </c>
      <c r="M2905" s="669">
        <v>90</v>
      </c>
      <c r="N2905" s="668"/>
      <c r="O2905" s="668">
        <v>20</v>
      </c>
      <c r="P2905" s="668" t="str">
        <f>IFERROR(VLOOKUP(F2905, [2]MOE!B:C, 2, FALSE), "No")</f>
        <v>No</v>
      </c>
      <c r="Q2905" s="711"/>
      <c r="S2905" s="670" t="s">
        <v>3805</v>
      </c>
      <c r="T2905" s="668" t="s">
        <v>1083</v>
      </c>
    </row>
    <row r="2906" spans="1:20">
      <c r="A2906" s="679">
        <v>2702890</v>
      </c>
      <c r="B2906" s="672"/>
      <c r="C2906" s="672"/>
      <c r="D2906" s="672"/>
      <c r="E2906" s="676" t="s">
        <v>1177</v>
      </c>
      <c r="F2906" s="680" t="s">
        <v>3833</v>
      </c>
      <c r="G2906" s="710">
        <v>270</v>
      </c>
      <c r="H2906" s="682">
        <v>2890</v>
      </c>
      <c r="J2906" s="668" t="str">
        <f t="shared" si="508"/>
        <v>(7) Health Benefits (retirees)</v>
      </c>
      <c r="L2906" s="668">
        <v>94</v>
      </c>
      <c r="M2906" s="669">
        <v>89</v>
      </c>
      <c r="N2906" s="668"/>
      <c r="O2906" s="668">
        <v>20</v>
      </c>
      <c r="P2906" s="668" t="str">
        <f>IFERROR(VLOOKUP(F2906, [2]MOE!B:C, 2, FALSE), "No")</f>
        <v>No</v>
      </c>
      <c r="Q2906" s="711"/>
      <c r="S2906" s="670" t="s">
        <v>3805</v>
      </c>
      <c r="T2906" s="668" t="s">
        <v>1085</v>
      </c>
    </row>
    <row r="2907" spans="1:20">
      <c r="A2907" s="679">
        <v>2812890</v>
      </c>
      <c r="B2907" s="672"/>
      <c r="C2907" s="672"/>
      <c r="D2907" s="672"/>
      <c r="E2907" s="676" t="s">
        <v>1179</v>
      </c>
      <c r="F2907" s="680" t="s">
        <v>3834</v>
      </c>
      <c r="G2907" s="710">
        <v>281</v>
      </c>
      <c r="H2907" s="682">
        <v>2890</v>
      </c>
      <c r="J2907" s="668" t="str">
        <f t="shared" si="508"/>
        <v>(8) Sick Leave Severance Pay</v>
      </c>
      <c r="L2907" s="668">
        <v>95</v>
      </c>
      <c r="M2907" s="669">
        <v>90</v>
      </c>
      <c r="N2907" s="668"/>
      <c r="O2907" s="668">
        <v>20</v>
      </c>
      <c r="P2907" s="668" t="str">
        <f>IFERROR(VLOOKUP(F2907, [2]MOE!B:C, 2, FALSE), "No")</f>
        <v>No</v>
      </c>
      <c r="Q2907" s="711"/>
      <c r="S2907" s="670" t="s">
        <v>3805</v>
      </c>
      <c r="T2907" s="668" t="s">
        <v>1087</v>
      </c>
    </row>
    <row r="2908" spans="1:20">
      <c r="A2908" s="679">
        <v>2822890</v>
      </c>
      <c r="B2908" s="672"/>
      <c r="C2908" s="672"/>
      <c r="D2908" s="672"/>
      <c r="E2908" s="676" t="s">
        <v>1181</v>
      </c>
      <c r="F2908" s="680" t="s">
        <v>3835</v>
      </c>
      <c r="G2908" s="710">
        <v>282</v>
      </c>
      <c r="H2908" s="682">
        <v>2890</v>
      </c>
      <c r="J2908" s="668" t="str">
        <f t="shared" si="508"/>
        <v>(9) Annual Leave Severance Pay</v>
      </c>
      <c r="L2908" s="668">
        <v>95</v>
      </c>
      <c r="M2908" s="669">
        <v>90</v>
      </c>
      <c r="N2908" s="668"/>
      <c r="O2908" s="668">
        <v>20</v>
      </c>
      <c r="P2908" s="668" t="str">
        <f>IFERROR(VLOOKUP(F2908, [2]MOE!B:C, 2, FALSE), "No")</f>
        <v>No</v>
      </c>
      <c r="Q2908" s="711"/>
      <c r="S2908" s="670" t="s">
        <v>3805</v>
      </c>
      <c r="T2908" s="668" t="s">
        <v>1089</v>
      </c>
    </row>
    <row r="2909" spans="1:20" ht="16" thickBot="1">
      <c r="A2909" s="679">
        <v>2902890</v>
      </c>
      <c r="B2909" s="716"/>
      <c r="C2909" s="672"/>
      <c r="D2909" s="672"/>
      <c r="E2909" s="676" t="s">
        <v>1183</v>
      </c>
      <c r="F2909" s="680" t="s">
        <v>3836</v>
      </c>
      <c r="G2909" s="710">
        <v>290</v>
      </c>
      <c r="H2909" s="682">
        <v>2890</v>
      </c>
      <c r="J2909" s="668" t="str">
        <f t="shared" si="508"/>
        <v>(10) Other Employee Benefits</v>
      </c>
      <c r="L2909" s="668">
        <v>95</v>
      </c>
      <c r="M2909" s="669">
        <v>90</v>
      </c>
      <c r="N2909" s="668"/>
      <c r="O2909" s="668">
        <v>20</v>
      </c>
      <c r="P2909" s="668" t="str">
        <f>IFERROR(VLOOKUP(F2909, [2]MOE!B:C, 2, FALSE), "No")</f>
        <v>No</v>
      </c>
      <c r="Q2909" s="711"/>
      <c r="S2909" s="670" t="s">
        <v>3805</v>
      </c>
      <c r="T2909" s="668" t="s">
        <v>1092</v>
      </c>
    </row>
    <row r="2910" spans="1:20" ht="16.5" thickTop="1" thickBot="1">
      <c r="A2910" s="671"/>
      <c r="B2910" s="663"/>
      <c r="C2910" s="929" t="s">
        <v>3837</v>
      </c>
      <c r="D2910" s="930"/>
      <c r="E2910" s="932"/>
      <c r="F2910" s="705" t="s">
        <v>634</v>
      </c>
      <c r="G2910" s="706"/>
      <c r="H2910" s="707"/>
      <c r="Q2910" s="711"/>
      <c r="S2910" s="670"/>
    </row>
    <row r="2911" spans="1:20" ht="16.5" thickTop="1" thickBot="1">
      <c r="A2911" s="671"/>
      <c r="B2911" s="935" t="s">
        <v>3838</v>
      </c>
      <c r="C2911" s="936"/>
      <c r="D2911" s="936"/>
      <c r="E2911" s="934"/>
      <c r="F2911" s="709" t="s">
        <v>710</v>
      </c>
      <c r="G2911" s="663"/>
      <c r="H2911" s="664"/>
      <c r="Q2911" s="711"/>
      <c r="S2911" s="670"/>
    </row>
    <row r="2912" spans="1:20" ht="16" thickTop="1">
      <c r="A2912" s="671"/>
      <c r="B2912" s="672"/>
      <c r="C2912" s="672"/>
      <c r="D2912" s="672"/>
      <c r="E2912" s="676"/>
      <c r="F2912" s="675"/>
      <c r="G2912" s="672"/>
      <c r="H2912" s="676"/>
      <c r="Q2912" s="711"/>
      <c r="S2912" s="670"/>
    </row>
    <row r="2913" spans="1:20">
      <c r="A2913" s="671"/>
      <c r="B2913" s="937" t="s">
        <v>3839</v>
      </c>
      <c r="C2913" s="795"/>
      <c r="D2913" s="795"/>
      <c r="E2913" s="926"/>
      <c r="F2913" s="675"/>
      <c r="G2913" s="672"/>
      <c r="H2913" s="676"/>
      <c r="Q2913" s="711"/>
      <c r="S2913" s="670"/>
    </row>
    <row r="2914" spans="1:20">
      <c r="A2914" s="671"/>
      <c r="B2914" s="677" t="s">
        <v>1001</v>
      </c>
      <c r="C2914" s="928" t="s">
        <v>712</v>
      </c>
      <c r="D2914" s="795"/>
      <c r="E2914" s="926"/>
      <c r="F2914" s="675"/>
      <c r="G2914" s="672"/>
      <c r="H2914" s="676"/>
      <c r="Q2914" s="711"/>
      <c r="S2914" s="670"/>
    </row>
    <row r="2915" spans="1:20">
      <c r="A2915" s="671"/>
      <c r="B2915" s="672"/>
      <c r="C2915" s="678">
        <v>90</v>
      </c>
      <c r="D2915" s="927" t="s">
        <v>244</v>
      </c>
      <c r="E2915" s="926"/>
      <c r="F2915" s="675"/>
      <c r="G2915" s="672"/>
      <c r="H2915" s="676"/>
      <c r="Q2915" s="711"/>
      <c r="S2915" s="670"/>
    </row>
    <row r="2916" spans="1:20">
      <c r="A2916" s="679">
        <v>1113100</v>
      </c>
      <c r="B2916" s="672"/>
      <c r="C2916" s="672"/>
      <c r="D2916" s="672" t="s">
        <v>759</v>
      </c>
      <c r="E2916" s="676" t="s">
        <v>3840</v>
      </c>
      <c r="F2916" s="680" t="s">
        <v>3841</v>
      </c>
      <c r="G2916" s="710">
        <v>111</v>
      </c>
      <c r="H2916" s="682">
        <v>3100</v>
      </c>
      <c r="J2916" s="668" t="str">
        <f t="shared" ref="J2916:J2926" si="509">E2916</f>
        <v>District-wide Directors &amp; Site Managers</v>
      </c>
      <c r="L2916" s="668">
        <v>81</v>
      </c>
      <c r="M2916" s="669">
        <v>76</v>
      </c>
      <c r="N2916" s="668"/>
      <c r="O2916" s="668">
        <v>21</v>
      </c>
      <c r="P2916" s="668" t="str">
        <f>IFERROR(VLOOKUP(F2916, [2]MOE!B:C, 2, FALSE), "No")</f>
        <v>No</v>
      </c>
      <c r="Q2916" s="711" t="s">
        <v>1004</v>
      </c>
      <c r="S2916" s="670" t="s">
        <v>712</v>
      </c>
      <c r="T2916" s="668" t="s">
        <v>3840</v>
      </c>
    </row>
    <row r="2917" spans="1:20">
      <c r="A2917" s="679">
        <v>1143100</v>
      </c>
      <c r="B2917" s="672"/>
      <c r="C2917" s="672"/>
      <c r="D2917" s="672" t="s">
        <v>777</v>
      </c>
      <c r="E2917" s="676" t="s">
        <v>1854</v>
      </c>
      <c r="F2917" s="680" t="s">
        <v>3842</v>
      </c>
      <c r="G2917" s="710">
        <v>114</v>
      </c>
      <c r="H2917" s="682">
        <v>3100</v>
      </c>
      <c r="J2917" s="668" t="str">
        <f t="shared" si="509"/>
        <v>Clerical/Secretarial</v>
      </c>
      <c r="L2917" s="668">
        <v>84</v>
      </c>
      <c r="M2917" s="669">
        <v>79</v>
      </c>
      <c r="N2917" s="668"/>
      <c r="O2917" s="668">
        <v>21</v>
      </c>
      <c r="P2917" s="668" t="str">
        <f>IFERROR(VLOOKUP(F2917, [2]MOE!B:C, 2, FALSE), "No")</f>
        <v>No</v>
      </c>
      <c r="Q2917" s="711" t="s">
        <v>1004</v>
      </c>
      <c r="S2917" s="670" t="s">
        <v>712</v>
      </c>
      <c r="T2917" s="668" t="s">
        <v>1854</v>
      </c>
    </row>
    <row r="2918" spans="1:20">
      <c r="A2918" s="679">
        <v>1163100</v>
      </c>
      <c r="B2918" s="672"/>
      <c r="C2918" s="672"/>
      <c r="D2918" s="672" t="s">
        <v>801</v>
      </c>
      <c r="E2918" s="676" t="s">
        <v>3843</v>
      </c>
      <c r="F2918" s="680" t="s">
        <v>3844</v>
      </c>
      <c r="G2918" s="710">
        <v>116</v>
      </c>
      <c r="H2918" s="682">
        <v>3100</v>
      </c>
      <c r="J2918" s="668" t="str">
        <f t="shared" si="509"/>
        <v>Service Workers</v>
      </c>
      <c r="L2918" s="668">
        <v>86</v>
      </c>
      <c r="M2918" s="669">
        <v>81</v>
      </c>
      <c r="N2918" s="668"/>
      <c r="O2918" s="668">
        <v>21</v>
      </c>
      <c r="P2918" s="668" t="str">
        <f>IFERROR(VLOOKUP(F2918, [2]MOE!B:C, 2, FALSE), "No")</f>
        <v>No</v>
      </c>
      <c r="Q2918" s="711" t="s">
        <v>1004</v>
      </c>
      <c r="S2918" s="670" t="s">
        <v>712</v>
      </c>
      <c r="T2918" s="668" t="s">
        <v>3843</v>
      </c>
    </row>
    <row r="2919" spans="1:20">
      <c r="A2919" s="679">
        <v>1173100</v>
      </c>
      <c r="B2919" s="672"/>
      <c r="C2919" s="672"/>
      <c r="D2919" s="672" t="s">
        <v>805</v>
      </c>
      <c r="E2919" s="676" t="s">
        <v>3845</v>
      </c>
      <c r="F2919" s="680" t="s">
        <v>3846</v>
      </c>
      <c r="G2919" s="710">
        <v>117</v>
      </c>
      <c r="H2919" s="682">
        <v>3100</v>
      </c>
      <c r="J2919" s="668" t="str">
        <f t="shared" si="509"/>
        <v>Skilled Craftsmen</v>
      </c>
      <c r="L2919" s="668">
        <v>86</v>
      </c>
      <c r="M2919" s="669">
        <v>81</v>
      </c>
      <c r="N2919" s="668"/>
      <c r="O2919" s="668">
        <v>21</v>
      </c>
      <c r="P2919" s="668" t="str">
        <f>IFERROR(VLOOKUP(F2919, [2]MOE!B:C, 2, FALSE), "No")</f>
        <v>No</v>
      </c>
      <c r="Q2919" s="711" t="s">
        <v>1004</v>
      </c>
      <c r="S2919" s="670" t="s">
        <v>712</v>
      </c>
      <c r="T2919" s="668" t="s">
        <v>3845</v>
      </c>
    </row>
    <row r="2920" spans="1:20">
      <c r="A2920" s="679">
        <v>1103100</v>
      </c>
      <c r="B2920" s="672"/>
      <c r="C2920" s="672"/>
      <c r="D2920" s="672" t="s">
        <v>850</v>
      </c>
      <c r="E2920" s="676" t="s">
        <v>3153</v>
      </c>
      <c r="F2920" s="680" t="s">
        <v>3847</v>
      </c>
      <c r="G2920" s="710">
        <v>110</v>
      </c>
      <c r="H2920" s="682">
        <v>3100</v>
      </c>
      <c r="J2920" s="668" t="str">
        <f t="shared" si="509"/>
        <v>Other Regular Salaries</v>
      </c>
      <c r="L2920" s="668">
        <v>86</v>
      </c>
      <c r="M2920" s="669">
        <v>81</v>
      </c>
      <c r="N2920" s="668"/>
      <c r="O2920" s="668">
        <v>21</v>
      </c>
      <c r="P2920" s="668" t="str">
        <f>IFERROR(VLOOKUP(F2920, [2]MOE!B:C, 2, FALSE), "No")</f>
        <v>No</v>
      </c>
      <c r="Q2920" s="711" t="s">
        <v>1004</v>
      </c>
      <c r="S2920" s="670" t="s">
        <v>712</v>
      </c>
      <c r="T2920" s="668" t="s">
        <v>3153</v>
      </c>
    </row>
    <row r="2921" spans="1:20">
      <c r="A2921" s="679">
        <v>1213100</v>
      </c>
      <c r="B2921" s="672"/>
      <c r="C2921" s="672"/>
      <c r="D2921" s="672" t="s">
        <v>853</v>
      </c>
      <c r="E2921" s="676" t="s">
        <v>3848</v>
      </c>
      <c r="F2921" s="680" t="s">
        <v>3849</v>
      </c>
      <c r="G2921" s="710">
        <v>121</v>
      </c>
      <c r="H2921" s="682">
        <v>3100</v>
      </c>
      <c r="J2921" s="668" t="str">
        <f t="shared" si="509"/>
        <v>Acting Employees</v>
      </c>
      <c r="L2921" s="668">
        <v>86</v>
      </c>
      <c r="M2921" s="669">
        <v>81</v>
      </c>
      <c r="N2921" s="668"/>
      <c r="O2921" s="668">
        <v>21</v>
      </c>
      <c r="P2921" s="668" t="str">
        <f>IFERROR(VLOOKUP(F2921, [2]MOE!B:C, 2, FALSE), "No")</f>
        <v>No</v>
      </c>
      <c r="Q2921" s="711" t="s">
        <v>1004</v>
      </c>
      <c r="S2921" s="670" t="s">
        <v>712</v>
      </c>
      <c r="T2921" s="668" t="s">
        <v>3848</v>
      </c>
    </row>
    <row r="2922" spans="1:20">
      <c r="A2922" s="679">
        <v>1243100</v>
      </c>
      <c r="B2922" s="672"/>
      <c r="C2922" s="672"/>
      <c r="D2922" s="672" t="s">
        <v>856</v>
      </c>
      <c r="E2922" s="676" t="s">
        <v>3850</v>
      </c>
      <c r="F2922" s="680" t="s">
        <v>3851</v>
      </c>
      <c r="G2922" s="710">
        <v>124</v>
      </c>
      <c r="H2922" s="682">
        <v>3100</v>
      </c>
      <c r="J2922" s="668" t="str">
        <f t="shared" si="509"/>
        <v>Substitute Employees</v>
      </c>
      <c r="L2922" s="668">
        <v>86</v>
      </c>
      <c r="M2922" s="669">
        <v>81</v>
      </c>
      <c r="N2922" s="668"/>
      <c r="O2922" s="668">
        <v>21</v>
      </c>
      <c r="P2922" s="668" t="str">
        <f>IFERROR(VLOOKUP(F2922, [2]MOE!B:C, 2, FALSE), "No")</f>
        <v>No</v>
      </c>
      <c r="Q2922" s="711" t="s">
        <v>1004</v>
      </c>
      <c r="S2922" s="670" t="s">
        <v>712</v>
      </c>
      <c r="T2922" s="668" t="s">
        <v>3850</v>
      </c>
    </row>
    <row r="2923" spans="1:20">
      <c r="A2923" s="679">
        <v>1203100</v>
      </c>
      <c r="B2923" s="672"/>
      <c r="C2923" s="672"/>
      <c r="D2923" s="672" t="s">
        <v>859</v>
      </c>
      <c r="E2923" s="676" t="s">
        <v>3852</v>
      </c>
      <c r="F2923" s="680" t="s">
        <v>3853</v>
      </c>
      <c r="G2923" s="710">
        <v>120</v>
      </c>
      <c r="H2923" s="682">
        <v>3100</v>
      </c>
      <c r="J2923" s="668" t="str">
        <f t="shared" si="509"/>
        <v>Other Temporary Employee</v>
      </c>
      <c r="L2923" s="668">
        <v>86</v>
      </c>
      <c r="M2923" s="669">
        <v>81</v>
      </c>
      <c r="N2923" s="668"/>
      <c r="O2923" s="668">
        <v>21</v>
      </c>
      <c r="P2923" s="668" t="str">
        <f>IFERROR(VLOOKUP(F2923, [2]MOE!B:C, 2, FALSE), "No")</f>
        <v>No</v>
      </c>
      <c r="Q2923" s="711" t="s">
        <v>1004</v>
      </c>
      <c r="S2923" s="670" t="s">
        <v>712</v>
      </c>
      <c r="T2923" s="668" t="s">
        <v>3852</v>
      </c>
    </row>
    <row r="2924" spans="1:20">
      <c r="A2924" s="679">
        <v>1303100</v>
      </c>
      <c r="B2924" s="672"/>
      <c r="C2924" s="672"/>
      <c r="D2924" s="672" t="s">
        <v>862</v>
      </c>
      <c r="E2924" s="676" t="s">
        <v>3854</v>
      </c>
      <c r="F2924" s="680" t="s">
        <v>3855</v>
      </c>
      <c r="G2924" s="710">
        <v>130</v>
      </c>
      <c r="H2924" s="682">
        <v>3100</v>
      </c>
      <c r="J2924" s="668" t="str">
        <f t="shared" si="509"/>
        <v>Salaries for Overtime/Extra Work</v>
      </c>
      <c r="L2924" s="668">
        <v>86</v>
      </c>
      <c r="M2924" s="669">
        <v>81</v>
      </c>
      <c r="N2924" s="668"/>
      <c r="O2924" s="668">
        <v>21</v>
      </c>
      <c r="P2924" s="668" t="str">
        <f>IFERROR(VLOOKUP(F2924, [2]MOE!B:C, 2, FALSE), "No")</f>
        <v>No</v>
      </c>
      <c r="Q2924" s="711" t="s">
        <v>1004</v>
      </c>
      <c r="S2924" s="670" t="s">
        <v>712</v>
      </c>
      <c r="T2924" s="668" t="s">
        <v>3854</v>
      </c>
    </row>
    <row r="2925" spans="1:20">
      <c r="A2925" s="679">
        <v>1503100</v>
      </c>
      <c r="B2925" s="672"/>
      <c r="C2925" s="672"/>
      <c r="D2925" s="672" t="s">
        <v>1091</v>
      </c>
      <c r="E2925" s="676" t="s">
        <v>2563</v>
      </c>
      <c r="F2925" s="680" t="s">
        <v>3856</v>
      </c>
      <c r="G2925" s="710">
        <v>150</v>
      </c>
      <c r="H2925" s="682">
        <v>3100</v>
      </c>
      <c r="J2925" s="668" t="str">
        <f t="shared" si="509"/>
        <v>Stipend Pay</v>
      </c>
      <c r="L2925" s="668">
        <v>86</v>
      </c>
      <c r="M2925" s="669">
        <v>81</v>
      </c>
      <c r="N2925" s="668"/>
      <c r="O2925" s="668">
        <v>21</v>
      </c>
      <c r="P2925" s="668" t="str">
        <f>IFERROR(VLOOKUP(F2925, [2]MOE!B:C, 2, FALSE), "No")</f>
        <v>No</v>
      </c>
      <c r="Q2925" s="711" t="s">
        <v>1004</v>
      </c>
      <c r="S2925" s="670" t="s">
        <v>712</v>
      </c>
      <c r="T2925" s="668" t="s">
        <v>2563</v>
      </c>
    </row>
    <row r="2926" spans="1:20">
      <c r="A2926" s="679">
        <v>1003100</v>
      </c>
      <c r="B2926" s="672"/>
      <c r="C2926" s="672"/>
      <c r="D2926" s="672" t="s">
        <v>1247</v>
      </c>
      <c r="E2926" s="676" t="s">
        <v>3857</v>
      </c>
      <c r="F2926" s="680" t="s">
        <v>3858</v>
      </c>
      <c r="G2926" s="710">
        <v>100</v>
      </c>
      <c r="H2926" s="682">
        <v>3100</v>
      </c>
      <c r="J2926" s="668" t="str">
        <f t="shared" si="509"/>
        <v>All Other Salaries - Food Service Ops</v>
      </c>
      <c r="L2926" s="668">
        <v>86</v>
      </c>
      <c r="M2926" s="669">
        <v>81</v>
      </c>
      <c r="N2926" s="668"/>
      <c r="O2926" s="668">
        <v>21</v>
      </c>
      <c r="P2926" s="668" t="str">
        <f>IFERROR(VLOOKUP(F2926, [2]MOE!B:C, 2, FALSE), "No")</f>
        <v>No</v>
      </c>
      <c r="Q2926" s="711" t="s">
        <v>1004</v>
      </c>
      <c r="S2926" s="670" t="s">
        <v>712</v>
      </c>
      <c r="T2926" s="668" t="s">
        <v>3857</v>
      </c>
    </row>
    <row r="2927" spans="1:20">
      <c r="A2927" s="671"/>
      <c r="B2927" s="672"/>
      <c r="C2927" s="678">
        <v>91</v>
      </c>
      <c r="D2927" s="925" t="s">
        <v>1113</v>
      </c>
      <c r="E2927" s="926"/>
      <c r="F2927" s="675"/>
      <c r="G2927" s="672"/>
      <c r="H2927" s="676"/>
      <c r="Q2927" s="711"/>
      <c r="S2927" s="670"/>
    </row>
    <row r="2928" spans="1:20">
      <c r="A2928" s="679">
        <v>3203100</v>
      </c>
      <c r="B2928" s="672"/>
      <c r="C2928" s="672"/>
      <c r="D2928" s="672" t="s">
        <v>759</v>
      </c>
      <c r="E2928" s="676" t="s">
        <v>3859</v>
      </c>
      <c r="F2928" s="680" t="s">
        <v>3860</v>
      </c>
      <c r="G2928" s="710">
        <v>320</v>
      </c>
      <c r="H2928" s="682">
        <v>3100</v>
      </c>
      <c r="J2928" s="668" t="str">
        <f>E2928</f>
        <v>Purchased Educational Services</v>
      </c>
      <c r="L2928" s="668">
        <v>101</v>
      </c>
      <c r="M2928" s="669">
        <v>96</v>
      </c>
      <c r="N2928" s="668"/>
      <c r="O2928" s="668">
        <v>21</v>
      </c>
      <c r="P2928" s="668" t="str">
        <f>IFERROR(VLOOKUP(F2928, [2]MOE!B:C, 2, FALSE), "No")</f>
        <v>No</v>
      </c>
      <c r="Q2928" s="711"/>
      <c r="S2928" s="670" t="s">
        <v>712</v>
      </c>
      <c r="T2928" s="668" t="s">
        <v>3859</v>
      </c>
    </row>
    <row r="2929" spans="1:20">
      <c r="A2929" s="671"/>
      <c r="B2929" s="672"/>
      <c r="C2929" s="672"/>
      <c r="D2929" s="672" t="s">
        <v>777</v>
      </c>
      <c r="E2929" s="676" t="s">
        <v>3861</v>
      </c>
      <c r="F2929" s="675"/>
      <c r="G2929" s="672"/>
      <c r="H2929" s="676"/>
      <c r="Q2929" s="711"/>
      <c r="S2929" s="670"/>
    </row>
    <row r="2930" spans="1:20">
      <c r="A2930" s="679">
        <v>3323100</v>
      </c>
      <c r="B2930" s="672"/>
      <c r="C2930" s="672"/>
      <c r="D2930" s="672"/>
      <c r="E2930" s="676" t="s">
        <v>3862</v>
      </c>
      <c r="F2930" s="680" t="s">
        <v>3863</v>
      </c>
      <c r="G2930" s="710">
        <v>332</v>
      </c>
      <c r="H2930" s="682">
        <v>3100</v>
      </c>
      <c r="J2930" s="668" t="str">
        <f t="shared" ref="J2930:J2933" si="510">E2930</f>
        <v>(1) Legal Services</v>
      </c>
      <c r="L2930" s="668">
        <v>98</v>
      </c>
      <c r="M2930" s="669">
        <v>93</v>
      </c>
      <c r="N2930" s="668"/>
      <c r="O2930" s="668">
        <v>21</v>
      </c>
      <c r="P2930" s="668" t="str">
        <f>IFERROR(VLOOKUP(F2930, [2]MOE!B:C, 2, FALSE), "No")</f>
        <v>No</v>
      </c>
      <c r="Q2930" s="711"/>
      <c r="S2930" s="670" t="s">
        <v>712</v>
      </c>
      <c r="T2930" s="668" t="s">
        <v>12</v>
      </c>
    </row>
    <row r="2931" spans="1:20">
      <c r="A2931" s="679">
        <v>3333100</v>
      </c>
      <c r="B2931" s="672"/>
      <c r="C2931" s="672"/>
      <c r="D2931" s="672"/>
      <c r="E2931" s="676" t="s">
        <v>3864</v>
      </c>
      <c r="F2931" s="680" t="s">
        <v>3865</v>
      </c>
      <c r="G2931" s="710">
        <v>333</v>
      </c>
      <c r="H2931" s="682">
        <v>3100</v>
      </c>
      <c r="J2931" s="668" t="str">
        <f t="shared" si="510"/>
        <v>(2) Audit/Accounting Services</v>
      </c>
      <c r="L2931" s="668">
        <v>99</v>
      </c>
      <c r="M2931" s="669">
        <v>94</v>
      </c>
      <c r="N2931" s="668"/>
      <c r="O2931" s="668">
        <v>21</v>
      </c>
      <c r="P2931" s="668" t="str">
        <f>IFERROR(VLOOKUP(F2931, [2]MOE!B:C, 2, FALSE), "No")</f>
        <v>No</v>
      </c>
      <c r="Q2931" s="711"/>
      <c r="S2931" s="670" t="s">
        <v>712</v>
      </c>
      <c r="T2931" s="668" t="s">
        <v>3866</v>
      </c>
    </row>
    <row r="2932" spans="1:20">
      <c r="A2932" s="679">
        <v>3393100</v>
      </c>
      <c r="B2932" s="672"/>
      <c r="C2932" s="672"/>
      <c r="D2932" s="672"/>
      <c r="E2932" s="676" t="s">
        <v>3867</v>
      </c>
      <c r="F2932" s="680" t="s">
        <v>3868</v>
      </c>
      <c r="G2932" s="710">
        <v>339</v>
      </c>
      <c r="H2932" s="682">
        <v>3100</v>
      </c>
      <c r="J2932" s="668" t="str">
        <f t="shared" si="510"/>
        <v>(3) Other Professional Services</v>
      </c>
      <c r="L2932" s="668">
        <v>101</v>
      </c>
      <c r="M2932" s="669">
        <v>96</v>
      </c>
      <c r="N2932" s="668"/>
      <c r="O2932" s="668">
        <v>21</v>
      </c>
      <c r="P2932" s="668" t="str">
        <f>IFERROR(VLOOKUP(F2932, [2]MOE!B:C, 2, FALSE), "No")</f>
        <v>No</v>
      </c>
      <c r="Q2932" s="711"/>
      <c r="S2932" s="670" t="s">
        <v>712</v>
      </c>
      <c r="T2932" s="668" t="s">
        <v>3869</v>
      </c>
    </row>
    <row r="2933" spans="1:20">
      <c r="A2933" s="679">
        <v>3003100</v>
      </c>
      <c r="B2933" s="672"/>
      <c r="C2933" s="672"/>
      <c r="D2933" s="672" t="s">
        <v>801</v>
      </c>
      <c r="E2933" s="676" t="s">
        <v>3870</v>
      </c>
      <c r="F2933" s="680" t="s">
        <v>3871</v>
      </c>
      <c r="G2933" s="710">
        <v>300</v>
      </c>
      <c r="H2933" s="682">
        <v>3100</v>
      </c>
      <c r="J2933" s="668" t="str">
        <f t="shared" si="510"/>
        <v>Other Purchased Professional &amp; Tech Svcs</v>
      </c>
      <c r="L2933" s="668">
        <v>101</v>
      </c>
      <c r="M2933" s="669">
        <v>96</v>
      </c>
      <c r="N2933" s="668"/>
      <c r="O2933" s="668">
        <v>21</v>
      </c>
      <c r="P2933" s="668" t="str">
        <f>IFERROR(VLOOKUP(F2933, [2]MOE!B:C, 2, FALSE), "No")</f>
        <v>No</v>
      </c>
      <c r="Q2933" s="711"/>
      <c r="S2933" s="670" t="s">
        <v>712</v>
      </c>
      <c r="T2933" s="668" t="s">
        <v>3870</v>
      </c>
    </row>
    <row r="2934" spans="1:20">
      <c r="A2934" s="671"/>
      <c r="B2934" s="672"/>
      <c r="C2934" s="678">
        <v>92</v>
      </c>
      <c r="D2934" s="927" t="s">
        <v>250</v>
      </c>
      <c r="E2934" s="926"/>
      <c r="F2934" s="675"/>
      <c r="G2934" s="672"/>
      <c r="H2934" s="676"/>
      <c r="Q2934" s="711"/>
      <c r="S2934" s="670"/>
    </row>
    <row r="2935" spans="1:20">
      <c r="A2935" s="679">
        <v>4113100</v>
      </c>
      <c r="B2935" s="672"/>
      <c r="C2935" s="672"/>
      <c r="D2935" s="672" t="s">
        <v>759</v>
      </c>
      <c r="E2935" s="676" t="s">
        <v>3872</v>
      </c>
      <c r="F2935" s="680" t="s">
        <v>3873</v>
      </c>
      <c r="G2935" s="710">
        <v>411</v>
      </c>
      <c r="H2935" s="682">
        <v>3100</v>
      </c>
      <c r="J2935" s="668" t="str">
        <f>E2935</f>
        <v>Water/Sewage</v>
      </c>
      <c r="L2935" s="668">
        <v>104</v>
      </c>
      <c r="M2935" s="669">
        <v>99</v>
      </c>
      <c r="N2935" s="668"/>
      <c r="O2935" s="668">
        <v>21</v>
      </c>
      <c r="P2935" s="668" t="str">
        <f>IFERROR(VLOOKUP(F2935, [2]MOE!B:C, 2, FALSE), "No")</f>
        <v>No</v>
      </c>
      <c r="Q2935" s="711"/>
      <c r="S2935" s="670" t="s">
        <v>712</v>
      </c>
      <c r="T2935" s="668" t="s">
        <v>3872</v>
      </c>
    </row>
    <row r="2936" spans="1:20">
      <c r="A2936" s="671"/>
      <c r="B2936" s="672"/>
      <c r="C2936" s="672"/>
      <c r="D2936" s="672" t="s">
        <v>777</v>
      </c>
      <c r="E2936" s="676" t="s">
        <v>3874</v>
      </c>
      <c r="F2936" s="675"/>
      <c r="G2936" s="672"/>
      <c r="H2936" s="676"/>
      <c r="Q2936" s="711"/>
      <c r="S2936" s="670"/>
    </row>
    <row r="2937" spans="1:20">
      <c r="A2937" s="679">
        <v>4213100</v>
      </c>
      <c r="B2937" s="672"/>
      <c r="C2937" s="672"/>
      <c r="D2937" s="672"/>
      <c r="E2937" s="676" t="s">
        <v>3875</v>
      </c>
      <c r="F2937" s="680" t="s">
        <v>3876</v>
      </c>
      <c r="G2937" s="710">
        <v>421</v>
      </c>
      <c r="H2937" s="682">
        <v>3100</v>
      </c>
      <c r="J2937" s="668" t="str">
        <f t="shared" ref="J2937:J2942" si="511">E2937</f>
        <v>(1) Disposal Services</v>
      </c>
      <c r="L2937" s="668">
        <v>108</v>
      </c>
      <c r="M2937" s="669">
        <v>103</v>
      </c>
      <c r="N2937" s="668"/>
      <c r="O2937" s="668">
        <v>21</v>
      </c>
      <c r="P2937" s="668" t="str">
        <f>IFERROR(VLOOKUP(F2937, [2]MOE!B:C, 2, FALSE), "No")</f>
        <v>No</v>
      </c>
      <c r="Q2937" s="711"/>
      <c r="S2937" s="670" t="s">
        <v>712</v>
      </c>
      <c r="T2937" s="668" t="s">
        <v>3402</v>
      </c>
    </row>
    <row r="2938" spans="1:20">
      <c r="A2938" s="679">
        <v>4233100</v>
      </c>
      <c r="B2938" s="672"/>
      <c r="C2938" s="672"/>
      <c r="D2938" s="672"/>
      <c r="E2938" s="676" t="s">
        <v>3877</v>
      </c>
      <c r="F2938" s="680" t="s">
        <v>3878</v>
      </c>
      <c r="G2938" s="710">
        <v>423</v>
      </c>
      <c r="H2938" s="682">
        <v>3100</v>
      </c>
      <c r="J2938" s="668" t="str">
        <f t="shared" si="511"/>
        <v>(2) Custodial Services</v>
      </c>
      <c r="L2938" s="668">
        <v>108</v>
      </c>
      <c r="M2938" s="669">
        <v>103</v>
      </c>
      <c r="N2938" s="668"/>
      <c r="O2938" s="668">
        <v>21</v>
      </c>
      <c r="P2938" s="668" t="str">
        <f>IFERROR(VLOOKUP(F2938, [2]MOE!B:C, 2, FALSE), "No")</f>
        <v>No</v>
      </c>
      <c r="Q2938" s="711"/>
      <c r="S2938" s="670" t="s">
        <v>712</v>
      </c>
      <c r="T2938" s="668" t="s">
        <v>3405</v>
      </c>
    </row>
    <row r="2939" spans="1:20">
      <c r="A2939" s="679">
        <v>4303100</v>
      </c>
      <c r="B2939" s="672"/>
      <c r="C2939" s="672"/>
      <c r="D2939" s="672" t="s">
        <v>801</v>
      </c>
      <c r="E2939" s="676" t="s">
        <v>1023</v>
      </c>
      <c r="F2939" s="680" t="s">
        <v>3879</v>
      </c>
      <c r="G2939" s="710">
        <v>430</v>
      </c>
      <c r="H2939" s="682">
        <v>3100</v>
      </c>
      <c r="J2939" s="668" t="str">
        <f t="shared" si="511"/>
        <v>Repairs and Maintenance Services</v>
      </c>
      <c r="L2939" s="668">
        <v>107</v>
      </c>
      <c r="M2939" s="669">
        <v>102</v>
      </c>
      <c r="N2939" s="668"/>
      <c r="O2939" s="668">
        <v>21</v>
      </c>
      <c r="P2939" s="668" t="str">
        <f>IFERROR(VLOOKUP(F2939, [2]MOE!B:C, 2, FALSE), "No")</f>
        <v>No</v>
      </c>
      <c r="Q2939" s="711"/>
      <c r="S2939" s="670" t="s">
        <v>712</v>
      </c>
      <c r="T2939" s="668" t="s">
        <v>1023</v>
      </c>
    </row>
    <row r="2940" spans="1:20">
      <c r="A2940" s="679">
        <v>4413100</v>
      </c>
      <c r="B2940" s="672"/>
      <c r="C2940" s="672"/>
      <c r="D2940" s="672" t="s">
        <v>805</v>
      </c>
      <c r="E2940" s="676" t="s">
        <v>3880</v>
      </c>
      <c r="F2940" s="680" t="s">
        <v>3881</v>
      </c>
      <c r="G2940" s="710">
        <v>441</v>
      </c>
      <c r="H2940" s="682">
        <v>3100</v>
      </c>
      <c r="J2940" s="668" t="str">
        <f t="shared" si="511"/>
        <v>Renting Land and Buildings</v>
      </c>
      <c r="L2940" s="668">
        <v>105</v>
      </c>
      <c r="M2940" s="669">
        <v>100</v>
      </c>
      <c r="N2940" s="668"/>
      <c r="O2940" s="668">
        <v>21</v>
      </c>
      <c r="P2940" s="668" t="str">
        <f>IFERROR(VLOOKUP(F2940, [2]MOE!B:C, 2, FALSE), "No")</f>
        <v>No</v>
      </c>
      <c r="Q2940" s="711"/>
      <c r="S2940" s="670" t="s">
        <v>712</v>
      </c>
      <c r="T2940" s="668" t="s">
        <v>3880</v>
      </c>
    </row>
    <row r="2941" spans="1:20">
      <c r="A2941" s="679">
        <v>4423100</v>
      </c>
      <c r="B2941" s="672"/>
      <c r="C2941" s="672"/>
      <c r="D2941" s="672" t="s">
        <v>850</v>
      </c>
      <c r="E2941" s="676" t="s">
        <v>1384</v>
      </c>
      <c r="F2941" s="680" t="s">
        <v>3882</v>
      </c>
      <c r="G2941" s="710">
        <v>442</v>
      </c>
      <c r="H2941" s="682">
        <v>3100</v>
      </c>
      <c r="J2941" s="668" t="str">
        <f t="shared" si="511"/>
        <v>Rental of Equipment and Vehicles</v>
      </c>
      <c r="L2941" s="668">
        <v>106</v>
      </c>
      <c r="M2941" s="669">
        <v>101</v>
      </c>
      <c r="N2941" s="668"/>
      <c r="O2941" s="668">
        <v>21</v>
      </c>
      <c r="P2941" s="668" t="str">
        <f>IFERROR(VLOOKUP(F2941, [2]MOE!B:C, 2, FALSE), "No")</f>
        <v>No</v>
      </c>
      <c r="Q2941" s="711"/>
      <c r="S2941" s="670" t="s">
        <v>712</v>
      </c>
      <c r="T2941" s="668" t="s">
        <v>1384</v>
      </c>
    </row>
    <row r="2942" spans="1:20">
      <c r="A2942" s="679">
        <v>4003100</v>
      </c>
      <c r="B2942" s="672"/>
      <c r="C2942" s="672"/>
      <c r="D2942" s="672" t="s">
        <v>853</v>
      </c>
      <c r="E2942" s="676" t="s">
        <v>1027</v>
      </c>
      <c r="F2942" s="680" t="s">
        <v>3883</v>
      </c>
      <c r="G2942" s="710">
        <v>400</v>
      </c>
      <c r="H2942" s="682">
        <v>3100</v>
      </c>
      <c r="J2942" s="668" t="str">
        <f t="shared" si="511"/>
        <v>Other Purchased Property Services</v>
      </c>
      <c r="L2942" s="668">
        <v>108</v>
      </c>
      <c r="M2942" s="669">
        <v>103</v>
      </c>
      <c r="N2942" s="668"/>
      <c r="O2942" s="668">
        <v>21</v>
      </c>
      <c r="P2942" s="668" t="str">
        <f>IFERROR(VLOOKUP(F2942, [2]MOE!B:C, 2, FALSE), "No")</f>
        <v>No</v>
      </c>
      <c r="Q2942" s="711"/>
      <c r="S2942" s="670" t="s">
        <v>712</v>
      </c>
      <c r="T2942" s="668" t="s">
        <v>1027</v>
      </c>
    </row>
    <row r="2943" spans="1:20">
      <c r="A2943" s="671"/>
      <c r="B2943" s="672"/>
      <c r="C2943" s="678">
        <v>93</v>
      </c>
      <c r="D2943" s="927" t="s">
        <v>252</v>
      </c>
      <c r="E2943" s="926"/>
      <c r="F2943" s="675"/>
      <c r="G2943" s="672"/>
      <c r="H2943" s="676"/>
      <c r="Q2943" s="711"/>
      <c r="S2943" s="670"/>
    </row>
    <row r="2944" spans="1:20">
      <c r="A2944" s="671"/>
      <c r="B2944" s="672"/>
      <c r="C2944" s="672"/>
      <c r="D2944" s="672" t="s">
        <v>759</v>
      </c>
      <c r="E2944" s="676" t="s">
        <v>3884</v>
      </c>
      <c r="F2944" s="675"/>
      <c r="G2944" s="672"/>
      <c r="H2944" s="676"/>
      <c r="Q2944" s="711"/>
      <c r="S2944" s="670"/>
    </row>
    <row r="2945" spans="1:20">
      <c r="A2945" s="679">
        <v>5213100</v>
      </c>
      <c r="B2945" s="672"/>
      <c r="C2945" s="672"/>
      <c r="D2945" s="672"/>
      <c r="E2945" s="676" t="s">
        <v>3885</v>
      </c>
      <c r="F2945" s="680" t="s">
        <v>3886</v>
      </c>
      <c r="G2945" s="710">
        <v>521</v>
      </c>
      <c r="H2945" s="682">
        <v>3100</v>
      </c>
      <c r="J2945" s="668" t="str">
        <f t="shared" ref="J2945:J2956" si="512">E2945</f>
        <v>(1) Liability Insurance</v>
      </c>
      <c r="L2945" s="668">
        <v>113</v>
      </c>
      <c r="M2945" s="669">
        <v>107</v>
      </c>
      <c r="N2945" s="668"/>
      <c r="O2945" s="668">
        <v>21</v>
      </c>
      <c r="P2945" s="668" t="str">
        <f>IFERROR(VLOOKUP(F2945, [2]MOE!B:C, 2, FALSE), "No")</f>
        <v>No</v>
      </c>
      <c r="Q2945" s="711"/>
      <c r="S2945" s="670" t="s">
        <v>712</v>
      </c>
      <c r="T2945" s="668" t="s">
        <v>3011</v>
      </c>
    </row>
    <row r="2946" spans="1:20">
      <c r="A2946" s="679">
        <v>5223100</v>
      </c>
      <c r="B2946" s="672"/>
      <c r="C2946" s="672"/>
      <c r="D2946" s="672"/>
      <c r="E2946" s="676" t="s">
        <v>3887</v>
      </c>
      <c r="F2946" s="680" t="s">
        <v>3888</v>
      </c>
      <c r="G2946" s="710">
        <v>522</v>
      </c>
      <c r="H2946" s="682">
        <v>3100</v>
      </c>
      <c r="J2946" s="668" t="str">
        <f t="shared" si="512"/>
        <v>(2) Property Insurance</v>
      </c>
      <c r="L2946" s="668">
        <v>112</v>
      </c>
      <c r="M2946" s="669">
        <v>107</v>
      </c>
      <c r="N2946" s="668"/>
      <c r="O2946" s="668">
        <v>21</v>
      </c>
      <c r="P2946" s="668" t="str">
        <f>IFERROR(VLOOKUP(F2946, [2]MOE!B:C, 2, FALSE), "No")</f>
        <v>No</v>
      </c>
      <c r="Q2946" s="711"/>
      <c r="S2946" s="670" t="s">
        <v>712</v>
      </c>
      <c r="T2946" s="668" t="s">
        <v>146</v>
      </c>
    </row>
    <row r="2947" spans="1:20">
      <c r="A2947" s="679">
        <v>5233100</v>
      </c>
      <c r="B2947" s="672"/>
      <c r="C2947" s="672"/>
      <c r="D2947" s="672"/>
      <c r="E2947" s="676" t="s">
        <v>3889</v>
      </c>
      <c r="F2947" s="680" t="s">
        <v>3890</v>
      </c>
      <c r="G2947" s="710">
        <v>523</v>
      </c>
      <c r="H2947" s="682">
        <v>3100</v>
      </c>
      <c r="J2947" s="668" t="str">
        <f t="shared" si="512"/>
        <v>(3) Fleet Insurance</v>
      </c>
      <c r="L2947" s="668">
        <v>114</v>
      </c>
      <c r="M2947" s="669">
        <v>107</v>
      </c>
      <c r="N2947" s="668"/>
      <c r="O2947" s="668">
        <v>21</v>
      </c>
      <c r="P2947" s="668" t="str">
        <f>IFERROR(VLOOKUP(F2947, [2]MOE!B:C, 2, FALSE), "No")</f>
        <v>No</v>
      </c>
      <c r="Q2947" s="711"/>
      <c r="S2947" s="670" t="s">
        <v>712</v>
      </c>
      <c r="T2947" s="668" t="s">
        <v>1388</v>
      </c>
    </row>
    <row r="2948" spans="1:20">
      <c r="A2948" s="679">
        <v>5243100</v>
      </c>
      <c r="B2948" s="672"/>
      <c r="C2948" s="672"/>
      <c r="D2948" s="672"/>
      <c r="E2948" s="676" t="s">
        <v>3891</v>
      </c>
      <c r="F2948" s="680" t="s">
        <v>3892</v>
      </c>
      <c r="G2948" s="710">
        <v>524</v>
      </c>
      <c r="H2948" s="682">
        <v>3100</v>
      </c>
      <c r="J2948" s="668" t="str">
        <f t="shared" si="512"/>
        <v>(4) Errors and Omissions Insurance</v>
      </c>
      <c r="L2948" s="668">
        <v>115</v>
      </c>
      <c r="M2948" s="669">
        <v>107</v>
      </c>
      <c r="N2948" s="668"/>
      <c r="O2948" s="668">
        <v>21</v>
      </c>
      <c r="P2948" s="668" t="str">
        <f>IFERROR(VLOOKUP(F2948, [2]MOE!B:C, 2, FALSE), "No")</f>
        <v>No</v>
      </c>
      <c r="Q2948" s="711"/>
      <c r="S2948" s="670" t="s">
        <v>712</v>
      </c>
      <c r="T2948" s="668" t="s">
        <v>3893</v>
      </c>
    </row>
    <row r="2949" spans="1:20">
      <c r="A2949" s="679">
        <v>5253100</v>
      </c>
      <c r="B2949" s="672"/>
      <c r="C2949" s="672"/>
      <c r="D2949" s="672"/>
      <c r="E2949" s="676" t="s">
        <v>3894</v>
      </c>
      <c r="F2949" s="680" t="s">
        <v>3895</v>
      </c>
      <c r="G2949" s="710">
        <v>525</v>
      </c>
      <c r="H2949" s="682">
        <v>3100</v>
      </c>
      <c r="J2949" s="668" t="str">
        <f t="shared" si="512"/>
        <v>(5) Faithful Performance Bonds</v>
      </c>
      <c r="L2949" s="668">
        <v>116</v>
      </c>
      <c r="M2949" s="669">
        <v>107</v>
      </c>
      <c r="N2949" s="668"/>
      <c r="O2949" s="668">
        <v>21</v>
      </c>
      <c r="P2949" s="668" t="str">
        <f>IFERROR(VLOOKUP(F2949, [2]MOE!B:C, 2, FALSE), "No")</f>
        <v>No</v>
      </c>
      <c r="Q2949" s="711"/>
      <c r="S2949" s="670" t="s">
        <v>712</v>
      </c>
      <c r="T2949" s="668" t="s">
        <v>3896</v>
      </c>
    </row>
    <row r="2950" spans="1:20">
      <c r="A2950" s="679">
        <v>5293100</v>
      </c>
      <c r="B2950" s="672"/>
      <c r="C2950" s="672"/>
      <c r="D2950" s="672"/>
      <c r="E2950" s="676" t="s">
        <v>3897</v>
      </c>
      <c r="F2950" s="680" t="s">
        <v>3898</v>
      </c>
      <c r="G2950" s="710">
        <v>529</v>
      </c>
      <c r="H2950" s="682">
        <v>3100</v>
      </c>
      <c r="J2950" s="668" t="str">
        <f t="shared" si="512"/>
        <v>(6) Other Insurance</v>
      </c>
      <c r="L2950" s="668">
        <v>119</v>
      </c>
      <c r="M2950" s="669">
        <v>110</v>
      </c>
      <c r="N2950" s="668"/>
      <c r="O2950" s="668">
        <v>21</v>
      </c>
      <c r="P2950" s="668" t="str">
        <f>IFERROR(VLOOKUP(F2950, [2]MOE!B:C, 2, FALSE), "No")</f>
        <v>No</v>
      </c>
      <c r="Q2950" s="711"/>
      <c r="S2950" s="670" t="s">
        <v>712</v>
      </c>
      <c r="T2950" s="668" t="s">
        <v>3899</v>
      </c>
    </row>
    <row r="2951" spans="1:20">
      <c r="A2951" s="679">
        <v>5303100</v>
      </c>
      <c r="B2951" s="672"/>
      <c r="C2951" s="672"/>
      <c r="D2951" s="672" t="s">
        <v>777</v>
      </c>
      <c r="E2951" s="676" t="s">
        <v>3163</v>
      </c>
      <c r="F2951" s="680" t="s">
        <v>3900</v>
      </c>
      <c r="G2951" s="710">
        <v>530</v>
      </c>
      <c r="H2951" s="682">
        <v>3100</v>
      </c>
      <c r="J2951" s="668" t="str">
        <f t="shared" si="512"/>
        <v>Communications (phone, internet, postage)</v>
      </c>
      <c r="L2951" s="668">
        <v>119</v>
      </c>
      <c r="M2951" s="669">
        <v>110</v>
      </c>
      <c r="N2951" s="668"/>
      <c r="O2951" s="668">
        <v>21</v>
      </c>
      <c r="P2951" s="668" t="str">
        <f>IFERROR(VLOOKUP(F2951, [2]MOE!B:C, 2, FALSE), "No")</f>
        <v>No</v>
      </c>
      <c r="Q2951" s="711"/>
      <c r="S2951" s="670" t="s">
        <v>712</v>
      </c>
      <c r="T2951" s="668" t="s">
        <v>3020</v>
      </c>
    </row>
    <row r="2952" spans="1:20">
      <c r="A2952" s="679">
        <v>5403100</v>
      </c>
      <c r="B2952" s="672"/>
      <c r="C2952" s="672"/>
      <c r="D2952" s="672" t="s">
        <v>801</v>
      </c>
      <c r="E2952" s="676" t="s">
        <v>3216</v>
      </c>
      <c r="F2952" s="680" t="s">
        <v>3901</v>
      </c>
      <c r="G2952" s="710">
        <v>540</v>
      </c>
      <c r="H2952" s="682">
        <v>3100</v>
      </c>
      <c r="J2952" s="668" t="str">
        <f t="shared" si="512"/>
        <v>Advertising and Public Notices</v>
      </c>
      <c r="L2952" s="668">
        <v>119</v>
      </c>
      <c r="M2952" s="669">
        <v>110</v>
      </c>
      <c r="N2952" s="668"/>
      <c r="O2952" s="668">
        <v>21</v>
      </c>
      <c r="P2952" s="668" t="str">
        <f>IFERROR(VLOOKUP(F2952, [2]MOE!B:C, 2, FALSE), "No")</f>
        <v>No</v>
      </c>
      <c r="Q2952" s="711"/>
      <c r="S2952" s="670" t="s">
        <v>712</v>
      </c>
      <c r="T2952" s="668" t="s">
        <v>3216</v>
      </c>
    </row>
    <row r="2953" spans="1:20">
      <c r="A2953" s="679">
        <v>5503100</v>
      </c>
      <c r="B2953" s="672"/>
      <c r="C2953" s="672"/>
      <c r="D2953" s="672" t="s">
        <v>805</v>
      </c>
      <c r="E2953" s="676" t="s">
        <v>3323</v>
      </c>
      <c r="F2953" s="680" t="s">
        <v>3902</v>
      </c>
      <c r="G2953" s="710">
        <v>550</v>
      </c>
      <c r="H2953" s="682">
        <v>3100</v>
      </c>
      <c r="J2953" s="668" t="str">
        <f t="shared" si="512"/>
        <v>Printing and Binding</v>
      </c>
      <c r="L2953" s="668">
        <v>119</v>
      </c>
      <c r="M2953" s="669">
        <v>110</v>
      </c>
      <c r="N2953" s="668"/>
      <c r="O2953" s="668">
        <v>21</v>
      </c>
      <c r="P2953" s="668" t="str">
        <f>IFERROR(VLOOKUP(F2953, [2]MOE!B:C, 2, FALSE), "No")</f>
        <v>No</v>
      </c>
      <c r="Q2953" s="711"/>
      <c r="S2953" s="670" t="s">
        <v>712</v>
      </c>
      <c r="T2953" s="668" t="s">
        <v>3323</v>
      </c>
    </row>
    <row r="2954" spans="1:20">
      <c r="A2954" s="679">
        <v>5703100</v>
      </c>
      <c r="B2954" s="672"/>
      <c r="C2954" s="672"/>
      <c r="D2954" s="672" t="s">
        <v>850</v>
      </c>
      <c r="E2954" s="676" t="s">
        <v>115</v>
      </c>
      <c r="F2954" s="680" t="s">
        <v>3903</v>
      </c>
      <c r="G2954" s="710">
        <v>570</v>
      </c>
      <c r="H2954" s="682">
        <v>3100</v>
      </c>
      <c r="J2954" s="668" t="str">
        <f t="shared" si="512"/>
        <v>Food Service Management</v>
      </c>
      <c r="L2954" s="668">
        <v>117</v>
      </c>
      <c r="M2954" s="669">
        <v>108</v>
      </c>
      <c r="N2954" s="668"/>
      <c r="O2954" s="668">
        <v>21</v>
      </c>
      <c r="P2954" s="668" t="str">
        <f>IFERROR(VLOOKUP(F2954, [2]MOE!B:C, 2, FALSE), "No")</f>
        <v>No</v>
      </c>
      <c r="Q2954" s="711"/>
      <c r="S2954" s="670" t="s">
        <v>712</v>
      </c>
      <c r="T2954" s="668" t="s">
        <v>115</v>
      </c>
    </row>
    <row r="2955" spans="1:20">
      <c r="A2955" s="679">
        <v>5813100</v>
      </c>
      <c r="B2955" s="672"/>
      <c r="C2955" s="672"/>
      <c r="D2955" s="672" t="s">
        <v>853</v>
      </c>
      <c r="E2955" s="676" t="s">
        <v>3110</v>
      </c>
      <c r="F2955" s="680" t="s">
        <v>3904</v>
      </c>
      <c r="G2955" s="710">
        <v>581</v>
      </c>
      <c r="H2955" s="682">
        <v>3100</v>
      </c>
      <c r="J2955" s="668" t="str">
        <f t="shared" si="512"/>
        <v>Mileage Allowance</v>
      </c>
      <c r="L2955" s="668">
        <v>118</v>
      </c>
      <c r="M2955" s="669">
        <v>109</v>
      </c>
      <c r="N2955" s="668"/>
      <c r="O2955" s="668">
        <v>21</v>
      </c>
      <c r="P2955" s="668" t="str">
        <f>IFERROR(VLOOKUP(F2955, [2]MOE!B:C, 2, FALSE), "No")</f>
        <v>No</v>
      </c>
      <c r="Q2955" s="711"/>
      <c r="S2955" s="670" t="s">
        <v>712</v>
      </c>
      <c r="T2955" s="668" t="s">
        <v>3110</v>
      </c>
    </row>
    <row r="2956" spans="1:20">
      <c r="A2956" s="679">
        <v>5823100</v>
      </c>
      <c r="B2956" s="672"/>
      <c r="C2956" s="672"/>
      <c r="D2956" s="672" t="s">
        <v>856</v>
      </c>
      <c r="E2956" s="676" t="s">
        <v>1039</v>
      </c>
      <c r="F2956" s="680" t="s">
        <v>3905</v>
      </c>
      <c r="G2956" s="710">
        <v>582</v>
      </c>
      <c r="H2956" s="682">
        <v>3100</v>
      </c>
      <c r="J2956" s="668" t="str">
        <f t="shared" si="512"/>
        <v>Travel Expense Reimbursement</v>
      </c>
      <c r="L2956" s="668">
        <v>118</v>
      </c>
      <c r="M2956" s="669">
        <v>109</v>
      </c>
      <c r="N2956" s="668"/>
      <c r="O2956" s="668">
        <v>21</v>
      </c>
      <c r="P2956" s="668" t="str">
        <f>IFERROR(VLOOKUP(F2956, [2]MOE!B:C, 2, FALSE), "No")</f>
        <v>No</v>
      </c>
      <c r="Q2956" s="711"/>
      <c r="S2956" s="670" t="s">
        <v>712</v>
      </c>
      <c r="T2956" s="668" t="s">
        <v>1039</v>
      </c>
    </row>
    <row r="2957" spans="1:20">
      <c r="A2957" s="671"/>
      <c r="B2957" s="672"/>
      <c r="C2957" s="672"/>
      <c r="D2957" s="672" t="s">
        <v>859</v>
      </c>
      <c r="E2957" s="676" t="s">
        <v>3906</v>
      </c>
      <c r="F2957" s="675"/>
      <c r="G2957" s="672"/>
      <c r="H2957" s="676"/>
      <c r="Q2957" s="711"/>
      <c r="S2957" s="670"/>
    </row>
    <row r="2958" spans="1:20">
      <c r="A2958" s="679">
        <v>5963100</v>
      </c>
      <c r="B2958" s="672"/>
      <c r="C2958" s="672"/>
      <c r="D2958" s="672"/>
      <c r="E2958" s="676" t="s">
        <v>3907</v>
      </c>
      <c r="F2958" s="680" t="s">
        <v>3908</v>
      </c>
      <c r="G2958" s="710">
        <v>596</v>
      </c>
      <c r="H2958" s="682">
        <v>3100</v>
      </c>
      <c r="J2958" s="668" t="str">
        <f t="shared" ref="J2958:J2961" si="513">E2958</f>
        <v>(1) Purchased from LEA Within the State</v>
      </c>
      <c r="L2958" s="668">
        <v>119</v>
      </c>
      <c r="M2958" s="669">
        <v>110</v>
      </c>
      <c r="N2958" s="668"/>
      <c r="O2958" s="668">
        <v>21</v>
      </c>
      <c r="P2958" s="668" t="str">
        <f>IFERROR(VLOOKUP(F2958, [2]MOE!B:C, 2, FALSE), "No")</f>
        <v>No</v>
      </c>
      <c r="Q2958" s="711"/>
      <c r="S2958" s="670" t="s">
        <v>712</v>
      </c>
      <c r="T2958" s="668" t="s">
        <v>3909</v>
      </c>
    </row>
    <row r="2959" spans="1:20">
      <c r="A2959" s="679">
        <v>5973100</v>
      </c>
      <c r="B2959" s="672"/>
      <c r="C2959" s="672"/>
      <c r="D2959" s="672"/>
      <c r="E2959" s="676" t="s">
        <v>3910</v>
      </c>
      <c r="F2959" s="680" t="s">
        <v>3911</v>
      </c>
      <c r="G2959" s="710">
        <v>597</v>
      </c>
      <c r="H2959" s="682">
        <v>3100</v>
      </c>
      <c r="J2959" s="668" t="str">
        <f t="shared" si="513"/>
        <v>(2) Purchased from LEAs Outside the State</v>
      </c>
      <c r="L2959" s="668">
        <v>119</v>
      </c>
      <c r="M2959" s="669">
        <v>110</v>
      </c>
      <c r="N2959" s="668"/>
      <c r="O2959" s="668">
        <v>21</v>
      </c>
      <c r="P2959" s="668" t="str">
        <f>IFERROR(VLOOKUP(F2959, [2]MOE!B:C, 2, FALSE), "No")</f>
        <v>No</v>
      </c>
      <c r="Q2959" s="711"/>
      <c r="S2959" s="670" t="s">
        <v>712</v>
      </c>
      <c r="T2959" s="668" t="s">
        <v>3912</v>
      </c>
    </row>
    <row r="2960" spans="1:20">
      <c r="A2960" s="679">
        <v>5903100</v>
      </c>
      <c r="B2960" s="672"/>
      <c r="C2960" s="672"/>
      <c r="D2960" s="672" t="s">
        <v>862</v>
      </c>
      <c r="E2960" s="676" t="s">
        <v>3913</v>
      </c>
      <c r="F2960" s="680" t="s">
        <v>3914</v>
      </c>
      <c r="G2960" s="710">
        <v>590</v>
      </c>
      <c r="H2960" s="682">
        <v>3100</v>
      </c>
      <c r="J2960" s="668" t="str">
        <f t="shared" si="513"/>
        <v>Services Purchased Locally</v>
      </c>
      <c r="L2960" s="668">
        <v>119</v>
      </c>
      <c r="M2960" s="669">
        <v>110</v>
      </c>
      <c r="N2960" s="668"/>
      <c r="O2960" s="668">
        <v>21</v>
      </c>
      <c r="P2960" s="668" t="str">
        <f>IFERROR(VLOOKUP(F2960, [2]MOE!B:C, 2, FALSE), "No")</f>
        <v>No</v>
      </c>
      <c r="Q2960" s="711"/>
      <c r="S2960" s="670" t="s">
        <v>712</v>
      </c>
      <c r="T2960" s="668" t="s">
        <v>3913</v>
      </c>
    </row>
    <row r="2961" spans="1:20">
      <c r="A2961" s="679">
        <v>5003100</v>
      </c>
      <c r="B2961" s="672"/>
      <c r="C2961" s="672"/>
      <c r="D2961" s="672" t="s">
        <v>1091</v>
      </c>
      <c r="E2961" s="676" t="s">
        <v>3915</v>
      </c>
      <c r="F2961" s="680" t="s">
        <v>3916</v>
      </c>
      <c r="G2961" s="710">
        <v>500</v>
      </c>
      <c r="H2961" s="682">
        <v>3100</v>
      </c>
      <c r="J2961" s="668" t="str">
        <f t="shared" si="513"/>
        <v>All Other Purchased Services</v>
      </c>
      <c r="L2961" s="668">
        <v>119</v>
      </c>
      <c r="M2961" s="669">
        <v>110</v>
      </c>
      <c r="N2961" s="668"/>
      <c r="O2961" s="668">
        <v>21</v>
      </c>
      <c r="P2961" s="668" t="str">
        <f>IFERROR(VLOOKUP(F2961, [2]MOE!B:C, 2, FALSE), "No")</f>
        <v>No</v>
      </c>
      <c r="Q2961" s="711"/>
      <c r="S2961" s="670" t="s">
        <v>712</v>
      </c>
      <c r="T2961" s="668" t="s">
        <v>3915</v>
      </c>
    </row>
    <row r="2962" spans="1:20">
      <c r="A2962" s="671"/>
      <c r="B2962" s="672"/>
      <c r="C2962" s="678">
        <v>94</v>
      </c>
      <c r="D2962" s="927" t="s">
        <v>254</v>
      </c>
      <c r="E2962" s="926"/>
      <c r="F2962" s="675"/>
      <c r="G2962" s="672"/>
      <c r="H2962" s="676"/>
      <c r="Q2962" s="711"/>
      <c r="S2962" s="670"/>
    </row>
    <row r="2963" spans="1:20">
      <c r="A2963" s="679">
        <v>6153100</v>
      </c>
      <c r="B2963" s="672"/>
      <c r="C2963" s="672"/>
      <c r="D2963" s="672" t="s">
        <v>759</v>
      </c>
      <c r="E2963" s="676" t="s">
        <v>1043</v>
      </c>
      <c r="F2963" s="680" t="s">
        <v>3917</v>
      </c>
      <c r="G2963" s="710">
        <v>615</v>
      </c>
      <c r="H2963" s="682">
        <v>3100</v>
      </c>
      <c r="J2963" s="668" t="str">
        <f t="shared" ref="J2963:J2965" si="514">E2963</f>
        <v>Technology-Related Supplies</v>
      </c>
      <c r="L2963" s="668">
        <v>126</v>
      </c>
      <c r="M2963" s="669">
        <v>117</v>
      </c>
      <c r="N2963" s="668"/>
      <c r="O2963" s="668">
        <v>21</v>
      </c>
      <c r="P2963" s="668" t="str">
        <f>IFERROR(VLOOKUP(F2963, [2]MOE!B:C, 2, FALSE), "No")</f>
        <v>No</v>
      </c>
      <c r="Q2963" s="711" t="s">
        <v>1045</v>
      </c>
      <c r="S2963" s="670" t="s">
        <v>712</v>
      </c>
      <c r="T2963" s="668" t="s">
        <v>1043</v>
      </c>
    </row>
    <row r="2964" spans="1:20">
      <c r="A2964" s="679">
        <v>6103100</v>
      </c>
      <c r="B2964" s="672"/>
      <c r="C2964" s="672"/>
      <c r="D2964" s="672" t="s">
        <v>777</v>
      </c>
      <c r="E2964" s="676" t="s">
        <v>39</v>
      </c>
      <c r="F2964" s="680" t="s">
        <v>3918</v>
      </c>
      <c r="G2964" s="710">
        <v>610</v>
      </c>
      <c r="H2964" s="682">
        <v>3100</v>
      </c>
      <c r="J2964" s="668" t="str">
        <f t="shared" si="514"/>
        <v>Materials and Supplies</v>
      </c>
      <c r="L2964" s="668">
        <v>122</v>
      </c>
      <c r="M2964" s="669">
        <v>113</v>
      </c>
      <c r="N2964" s="668"/>
      <c r="O2964" s="668">
        <v>21</v>
      </c>
      <c r="P2964" s="668" t="str">
        <f>IFERROR(VLOOKUP(F2964, [2]MOE!B:C, 2, FALSE), "No")</f>
        <v>No</v>
      </c>
      <c r="Q2964" s="711" t="s">
        <v>1045</v>
      </c>
      <c r="S2964" s="670" t="s">
        <v>712</v>
      </c>
      <c r="T2964" s="668" t="s">
        <v>39</v>
      </c>
    </row>
    <row r="2965" spans="1:20">
      <c r="A2965" s="679">
        <v>6203100</v>
      </c>
      <c r="B2965" s="672"/>
      <c r="C2965" s="672"/>
      <c r="D2965" s="672" t="s">
        <v>801</v>
      </c>
      <c r="E2965" s="676" t="s">
        <v>3919</v>
      </c>
      <c r="F2965" s="680" t="s">
        <v>3920</v>
      </c>
      <c r="G2965" s="710">
        <v>620</v>
      </c>
      <c r="H2965" s="682">
        <v>3100</v>
      </c>
      <c r="J2965" s="668" t="str">
        <f t="shared" si="514"/>
        <v>Entergy (Gas, Electricity, etc.)</v>
      </c>
      <c r="L2965" s="668">
        <v>123</v>
      </c>
      <c r="M2965" s="669">
        <v>114</v>
      </c>
      <c r="N2965" s="668"/>
      <c r="O2965" s="668">
        <v>21</v>
      </c>
      <c r="P2965" s="668" t="str">
        <f>IFERROR(VLOOKUP(F2965, [2]MOE!B:C, 2, FALSE), "No")</f>
        <v>No</v>
      </c>
      <c r="Q2965" s="711" t="s">
        <v>1045</v>
      </c>
      <c r="S2965" s="670" t="s">
        <v>712</v>
      </c>
      <c r="T2965" s="668" t="s">
        <v>3921</v>
      </c>
    </row>
    <row r="2966" spans="1:20">
      <c r="A2966" s="671"/>
      <c r="B2966" s="672"/>
      <c r="C2966" s="672"/>
      <c r="D2966" s="672" t="s">
        <v>805</v>
      </c>
      <c r="E2966" s="676" t="s">
        <v>3922</v>
      </c>
      <c r="F2966" s="675"/>
      <c r="G2966" s="672"/>
      <c r="H2966" s="676"/>
      <c r="Q2966" s="711"/>
      <c r="S2966" s="670"/>
    </row>
    <row r="2967" spans="1:20">
      <c r="A2967" s="679">
        <v>6313100</v>
      </c>
      <c r="B2967" s="672"/>
      <c r="C2967" s="672"/>
      <c r="D2967" s="672"/>
      <c r="E2967" s="676" t="s">
        <v>3923</v>
      </c>
      <c r="F2967" s="680" t="s">
        <v>3924</v>
      </c>
      <c r="G2967" s="710">
        <v>631</v>
      </c>
      <c r="H2967" s="682">
        <v>3100</v>
      </c>
      <c r="J2967" s="668" t="str">
        <f t="shared" ref="J2967:J2970" si="515">E2967</f>
        <v>(1) Purchased Food</v>
      </c>
      <c r="L2967" s="668">
        <v>124</v>
      </c>
      <c r="M2967" s="669">
        <v>115</v>
      </c>
      <c r="N2967" s="668"/>
      <c r="O2967" s="668">
        <v>21</v>
      </c>
      <c r="P2967" s="668" t="str">
        <f>IFERROR(VLOOKUP(F2967, [2]MOE!B:C, 2, FALSE), "No")</f>
        <v>No</v>
      </c>
      <c r="Q2967" s="711" t="s">
        <v>1045</v>
      </c>
      <c r="S2967" s="670" t="s">
        <v>712</v>
      </c>
      <c r="T2967" s="668" t="s">
        <v>3925</v>
      </c>
    </row>
    <row r="2968" spans="1:20">
      <c r="A2968" s="679">
        <v>6323100</v>
      </c>
      <c r="B2968" s="672"/>
      <c r="C2968" s="672"/>
      <c r="D2968" s="672"/>
      <c r="E2968" s="676" t="s">
        <v>3926</v>
      </c>
      <c r="F2968" s="680" t="s">
        <v>3927</v>
      </c>
      <c r="G2968" s="710">
        <v>632</v>
      </c>
      <c r="H2968" s="682">
        <v>3100</v>
      </c>
      <c r="J2968" s="668" t="str">
        <f t="shared" si="515"/>
        <v>(2) Commodities</v>
      </c>
      <c r="L2968" s="668">
        <v>124</v>
      </c>
      <c r="M2968" s="669">
        <v>115</v>
      </c>
      <c r="N2968" s="668"/>
      <c r="O2968" s="668">
        <v>21</v>
      </c>
      <c r="P2968" s="668" t="str">
        <f>IFERROR(VLOOKUP(F2968, [2]MOE!B:C, 2, FALSE), "No")</f>
        <v>No</v>
      </c>
      <c r="Q2968" s="711" t="s">
        <v>1045</v>
      </c>
      <c r="S2968" s="670" t="s">
        <v>712</v>
      </c>
      <c r="T2968" s="668" t="s">
        <v>3928</v>
      </c>
    </row>
    <row r="2969" spans="1:20">
      <c r="A2969" s="679">
        <v>6403100</v>
      </c>
      <c r="B2969" s="672"/>
      <c r="C2969" s="672"/>
      <c r="D2969" s="672" t="s">
        <v>850</v>
      </c>
      <c r="E2969" s="676" t="s">
        <v>2529</v>
      </c>
      <c r="F2969" s="680" t="s">
        <v>3929</v>
      </c>
      <c r="G2969" s="710">
        <v>640</v>
      </c>
      <c r="H2969" s="682">
        <v>3100</v>
      </c>
      <c r="J2969" s="668" t="str">
        <f t="shared" si="515"/>
        <v>Books and Periodicals</v>
      </c>
      <c r="L2969" s="668">
        <v>125</v>
      </c>
      <c r="M2969" s="669">
        <v>116</v>
      </c>
      <c r="N2969" s="668"/>
      <c r="O2969" s="668">
        <v>21</v>
      </c>
      <c r="P2969" s="668" t="str">
        <f>IFERROR(VLOOKUP(F2969, [2]MOE!B:C, 2, FALSE), "No")</f>
        <v>No</v>
      </c>
      <c r="Q2969" s="711" t="s">
        <v>1045</v>
      </c>
      <c r="S2969" s="670" t="s">
        <v>712</v>
      </c>
      <c r="T2969" s="668" t="s">
        <v>2529</v>
      </c>
    </row>
    <row r="2970" spans="1:20">
      <c r="A2970" s="679">
        <v>6003100</v>
      </c>
      <c r="B2970" s="672"/>
      <c r="C2970" s="672"/>
      <c r="D2970" s="672" t="s">
        <v>853</v>
      </c>
      <c r="E2970" s="676" t="s">
        <v>1050</v>
      </c>
      <c r="F2970" s="680" t="s">
        <v>3930</v>
      </c>
      <c r="G2970" s="710">
        <v>600</v>
      </c>
      <c r="H2970" s="682">
        <v>3100</v>
      </c>
      <c r="J2970" s="668" t="str">
        <f t="shared" si="515"/>
        <v>Other Supplies</v>
      </c>
      <c r="L2970" s="668">
        <v>126</v>
      </c>
      <c r="M2970" s="669">
        <v>117</v>
      </c>
      <c r="N2970" s="668"/>
      <c r="O2970" s="668">
        <v>21</v>
      </c>
      <c r="P2970" s="668" t="str">
        <f>IFERROR(VLOOKUP(F2970, [2]MOE!B:C, 2, FALSE), "No")</f>
        <v>No</v>
      </c>
      <c r="Q2970" s="711"/>
      <c r="S2970" s="670" t="s">
        <v>712</v>
      </c>
      <c r="T2970" s="668" t="s">
        <v>1050</v>
      </c>
    </row>
    <row r="2971" spans="1:20">
      <c r="A2971" s="671"/>
      <c r="B2971" s="672"/>
      <c r="C2971" s="678">
        <v>95</v>
      </c>
      <c r="D2971" s="927" t="s">
        <v>1052</v>
      </c>
      <c r="E2971" s="926"/>
      <c r="F2971" s="675"/>
      <c r="G2971" s="672"/>
      <c r="H2971" s="676"/>
      <c r="Q2971" s="711"/>
      <c r="S2971" s="670"/>
    </row>
    <row r="2972" spans="1:20">
      <c r="A2972" s="679">
        <v>7343100</v>
      </c>
      <c r="B2972" s="672"/>
      <c r="C2972" s="672"/>
      <c r="D2972" s="672" t="s">
        <v>759</v>
      </c>
      <c r="E2972" s="676" t="s">
        <v>1053</v>
      </c>
      <c r="F2972" s="680" t="s">
        <v>3931</v>
      </c>
      <c r="G2972" s="710">
        <v>734</v>
      </c>
      <c r="H2972" s="682">
        <v>3100</v>
      </c>
      <c r="J2972" s="668" t="str">
        <f t="shared" ref="J2972:J2975" si="516">E2972</f>
        <v>Technology-Related Hardware</v>
      </c>
      <c r="L2972" s="668">
        <v>131</v>
      </c>
      <c r="M2972" s="669">
        <v>122</v>
      </c>
      <c r="N2972" s="668"/>
      <c r="O2972" s="668">
        <v>21</v>
      </c>
      <c r="P2972" s="668" t="str">
        <f>IFERROR(VLOOKUP(F2972, [2]MOE!B:C, 2, FALSE), "No")</f>
        <v>No</v>
      </c>
      <c r="Q2972" s="711"/>
      <c r="S2972" s="670" t="s">
        <v>712</v>
      </c>
      <c r="T2972" s="668" t="s">
        <v>1053</v>
      </c>
    </row>
    <row r="2973" spans="1:20">
      <c r="A2973" s="679">
        <v>7353100</v>
      </c>
      <c r="B2973" s="672"/>
      <c r="C2973" s="672"/>
      <c r="D2973" s="672" t="s">
        <v>777</v>
      </c>
      <c r="E2973" s="676" t="s">
        <v>1055</v>
      </c>
      <c r="F2973" s="680" t="s">
        <v>3932</v>
      </c>
      <c r="G2973" s="710">
        <v>735</v>
      </c>
      <c r="H2973" s="682">
        <v>3100</v>
      </c>
      <c r="J2973" s="668" t="str">
        <f t="shared" si="516"/>
        <v>Technology Software</v>
      </c>
      <c r="L2973" s="668">
        <v>131</v>
      </c>
      <c r="M2973" s="669">
        <v>122</v>
      </c>
      <c r="N2973" s="668"/>
      <c r="O2973" s="668">
        <v>21</v>
      </c>
      <c r="P2973" s="668" t="str">
        <f>IFERROR(VLOOKUP(F2973, [2]MOE!B:C, 2, FALSE), "No")</f>
        <v>No</v>
      </c>
      <c r="Q2973" s="711"/>
      <c r="S2973" s="670" t="s">
        <v>712</v>
      </c>
      <c r="T2973" s="668" t="s">
        <v>1055</v>
      </c>
    </row>
    <row r="2974" spans="1:20">
      <c r="A2974" s="679">
        <v>7303100</v>
      </c>
      <c r="B2974" s="672"/>
      <c r="C2974" s="672"/>
      <c r="D2974" s="672" t="s">
        <v>801</v>
      </c>
      <c r="E2974" s="676" t="s">
        <v>3933</v>
      </c>
      <c r="F2974" s="680" t="s">
        <v>3934</v>
      </c>
      <c r="G2974" s="710">
        <v>730</v>
      </c>
      <c r="H2974" s="682">
        <v>3100</v>
      </c>
      <c r="J2974" s="668" t="str">
        <f t="shared" si="516"/>
        <v>All Other Equipment (Including Vehicles)</v>
      </c>
      <c r="L2974" s="668">
        <v>131</v>
      </c>
      <c r="M2974" s="669">
        <v>122</v>
      </c>
      <c r="N2974" s="668"/>
      <c r="O2974" s="668">
        <v>21</v>
      </c>
      <c r="P2974" s="668" t="str">
        <f>IFERROR(VLOOKUP(F2974, [2]MOE!B:C, 2, FALSE), "No")</f>
        <v>No</v>
      </c>
      <c r="Q2974" s="711"/>
      <c r="S2974" s="670" t="s">
        <v>712</v>
      </c>
      <c r="T2974" s="668" t="s">
        <v>1057</v>
      </c>
    </row>
    <row r="2975" spans="1:20">
      <c r="A2975" s="679">
        <v>7003100</v>
      </c>
      <c r="B2975" s="672"/>
      <c r="C2975" s="672"/>
      <c r="D2975" s="672" t="s">
        <v>805</v>
      </c>
      <c r="E2975" s="676" t="s">
        <v>1059</v>
      </c>
      <c r="F2975" s="680" t="s">
        <v>3935</v>
      </c>
      <c r="G2975" s="710">
        <v>700</v>
      </c>
      <c r="H2975" s="682">
        <v>3100</v>
      </c>
      <c r="J2975" s="668" t="str">
        <f t="shared" si="516"/>
        <v>Other Property</v>
      </c>
      <c r="L2975" s="668">
        <v>132</v>
      </c>
      <c r="M2975" s="669">
        <v>123</v>
      </c>
      <c r="N2975" s="668"/>
      <c r="O2975" s="668">
        <v>21</v>
      </c>
      <c r="P2975" s="668" t="str">
        <f>IFERROR(VLOOKUP(F2975, [2]MOE!B:C, 2, FALSE), "No")</f>
        <v>No</v>
      </c>
      <c r="Q2975" s="711"/>
      <c r="S2975" s="670" t="s">
        <v>712</v>
      </c>
      <c r="T2975" s="668" t="s">
        <v>1059</v>
      </c>
    </row>
    <row r="2976" spans="1:20">
      <c r="A2976" s="671"/>
      <c r="B2976" s="672"/>
      <c r="C2976" s="678">
        <v>96</v>
      </c>
      <c r="D2976" s="927" t="s">
        <v>256</v>
      </c>
      <c r="E2976" s="926"/>
      <c r="F2976" s="675"/>
      <c r="G2976" s="672"/>
      <c r="H2976" s="676"/>
      <c r="Q2976" s="711"/>
      <c r="S2976" s="670"/>
    </row>
    <row r="2977" spans="1:20">
      <c r="A2977" s="679">
        <v>8953100</v>
      </c>
      <c r="B2977" s="672"/>
      <c r="C2977" s="672"/>
      <c r="D2977" s="672" t="s">
        <v>759</v>
      </c>
      <c r="E2977" s="676" t="s">
        <v>1061</v>
      </c>
      <c r="F2977" s="680" t="s">
        <v>3936</v>
      </c>
      <c r="G2977" s="710">
        <v>895</v>
      </c>
      <c r="H2977" s="682">
        <v>3100</v>
      </c>
      <c r="J2977" s="668" t="str">
        <f t="shared" ref="J2977:J2978" si="517">E2977</f>
        <v>Miscellaneous Non-Public Expenditures</v>
      </c>
      <c r="L2977" s="668">
        <v>139</v>
      </c>
      <c r="M2977" s="669">
        <v>129</v>
      </c>
      <c r="N2977" s="668"/>
      <c r="O2977" s="668">
        <v>21</v>
      </c>
      <c r="P2977" s="668" t="str">
        <f>IFERROR(VLOOKUP(F2977, [2]MOE!B:C, 2, FALSE), "No")</f>
        <v>No</v>
      </c>
      <c r="Q2977" s="711"/>
      <c r="S2977" s="670" t="s">
        <v>712</v>
      </c>
      <c r="T2977" s="668" t="s">
        <v>1061</v>
      </c>
    </row>
    <row r="2978" spans="1:20">
      <c r="A2978" s="679">
        <v>8003100</v>
      </c>
      <c r="B2978" s="672"/>
      <c r="C2978" s="672"/>
      <c r="D2978" s="672" t="s">
        <v>777</v>
      </c>
      <c r="E2978" s="676" t="s">
        <v>1063</v>
      </c>
      <c r="F2978" s="680" t="s">
        <v>3937</v>
      </c>
      <c r="G2978" s="710">
        <v>800</v>
      </c>
      <c r="H2978" s="682">
        <v>3100</v>
      </c>
      <c r="J2978" s="668" t="str">
        <f t="shared" si="517"/>
        <v>Other Miscellaneous Expenditures</v>
      </c>
      <c r="L2978" s="668">
        <v>139</v>
      </c>
      <c r="M2978" s="669">
        <v>129</v>
      </c>
      <c r="N2978" s="668"/>
      <c r="O2978" s="668">
        <v>21</v>
      </c>
      <c r="P2978" s="668" t="str">
        <f>IFERROR(VLOOKUP(F2978, [2]MOE!B:C, 2, FALSE), "No")</f>
        <v>No</v>
      </c>
      <c r="Q2978" s="711"/>
      <c r="S2978" s="670" t="s">
        <v>712</v>
      </c>
      <c r="T2978" s="668" t="s">
        <v>1063</v>
      </c>
    </row>
    <row r="2979" spans="1:20">
      <c r="A2979" s="671"/>
      <c r="B2979" s="672"/>
      <c r="C2979" s="678">
        <v>97</v>
      </c>
      <c r="D2979" s="927" t="s">
        <v>3938</v>
      </c>
      <c r="E2979" s="926"/>
      <c r="F2979" s="675"/>
      <c r="G2979" s="672"/>
      <c r="H2979" s="676"/>
      <c r="Q2979" s="711"/>
      <c r="S2979" s="670"/>
    </row>
    <row r="2980" spans="1:20">
      <c r="A2980" s="679">
        <v>2103100</v>
      </c>
      <c r="B2980" s="672"/>
      <c r="C2980" s="672"/>
      <c r="D2980" s="672" t="s">
        <v>759</v>
      </c>
      <c r="E2980" s="676" t="s">
        <v>1066</v>
      </c>
      <c r="F2980" s="680" t="s">
        <v>3939</v>
      </c>
      <c r="G2980" s="710">
        <v>210</v>
      </c>
      <c r="H2980" s="682">
        <v>3100</v>
      </c>
      <c r="J2980" s="668" t="str">
        <f t="shared" ref="J2980:J2982" si="518">E2980</f>
        <v>Group Insurance</v>
      </c>
      <c r="L2980" s="668">
        <v>89</v>
      </c>
      <c r="M2980" s="669">
        <v>84</v>
      </c>
      <c r="N2980" s="668"/>
      <c r="O2980" s="668">
        <v>21</v>
      </c>
      <c r="P2980" s="668" t="str">
        <f>IFERROR(VLOOKUP(F2980, [2]MOE!B:C, 2, FALSE), "No")</f>
        <v>No</v>
      </c>
      <c r="Q2980" s="711" t="s">
        <v>1004</v>
      </c>
      <c r="S2980" s="670" t="s">
        <v>712</v>
      </c>
      <c r="T2980" s="668" t="s">
        <v>1066</v>
      </c>
    </row>
    <row r="2981" spans="1:20">
      <c r="A2981" s="679">
        <v>2203100</v>
      </c>
      <c r="B2981" s="672"/>
      <c r="C2981" s="672"/>
      <c r="D2981" s="672" t="s">
        <v>777</v>
      </c>
      <c r="E2981" s="676" t="s">
        <v>1068</v>
      </c>
      <c r="F2981" s="680" t="s">
        <v>3940</v>
      </c>
      <c r="G2981" s="710">
        <v>220</v>
      </c>
      <c r="H2981" s="682">
        <v>3100</v>
      </c>
      <c r="J2981" s="668" t="str">
        <f t="shared" si="518"/>
        <v>FICA</v>
      </c>
      <c r="L2981" s="668">
        <v>90</v>
      </c>
      <c r="M2981" s="669">
        <v>85</v>
      </c>
      <c r="N2981" s="668"/>
      <c r="O2981" s="668">
        <v>21</v>
      </c>
      <c r="P2981" s="668" t="str">
        <f>IFERROR(VLOOKUP(F2981, [2]MOE!B:C, 2, FALSE), "No")</f>
        <v>No</v>
      </c>
      <c r="Q2981" s="711" t="s">
        <v>1004</v>
      </c>
      <c r="S2981" s="670" t="s">
        <v>712</v>
      </c>
      <c r="T2981" s="668" t="s">
        <v>1068</v>
      </c>
    </row>
    <row r="2982" spans="1:20">
      <c r="A2982" s="679">
        <v>2253100</v>
      </c>
      <c r="B2982" s="672"/>
      <c r="C2982" s="672"/>
      <c r="D2982" s="672" t="s">
        <v>801</v>
      </c>
      <c r="E2982" s="676" t="s">
        <v>23</v>
      </c>
      <c r="F2982" s="680" t="s">
        <v>3941</v>
      </c>
      <c r="G2982" s="710">
        <v>225</v>
      </c>
      <c r="H2982" s="682">
        <v>3100</v>
      </c>
      <c r="J2982" s="668" t="str">
        <f t="shared" si="518"/>
        <v>Medicare</v>
      </c>
      <c r="L2982" s="668">
        <v>91</v>
      </c>
      <c r="M2982" s="669">
        <v>86</v>
      </c>
      <c r="N2982" s="668"/>
      <c r="O2982" s="668">
        <v>21</v>
      </c>
      <c r="P2982" s="668" t="str">
        <f>IFERROR(VLOOKUP(F2982, [2]MOE!B:C, 2, FALSE), "No")</f>
        <v>No</v>
      </c>
      <c r="Q2982" s="711" t="s">
        <v>1004</v>
      </c>
      <c r="S2982" s="670" t="s">
        <v>712</v>
      </c>
      <c r="T2982" s="668" t="s">
        <v>23</v>
      </c>
    </row>
    <row r="2983" spans="1:20">
      <c r="A2983" s="671"/>
      <c r="B2983" s="672"/>
      <c r="C2983" s="672"/>
      <c r="D2983" s="672" t="s">
        <v>805</v>
      </c>
      <c r="E2983" s="676" t="s">
        <v>1071</v>
      </c>
      <c r="F2983" s="675"/>
      <c r="G2983" s="672"/>
      <c r="H2983" s="676"/>
      <c r="Q2983" s="711"/>
      <c r="S2983" s="670"/>
    </row>
    <row r="2984" spans="1:20">
      <c r="A2984" s="679">
        <v>2313100</v>
      </c>
      <c r="B2984" s="672"/>
      <c r="C2984" s="672"/>
      <c r="D2984" s="672"/>
      <c r="E2984" s="676" t="s">
        <v>1072</v>
      </c>
      <c r="F2984" s="680" t="s">
        <v>3942</v>
      </c>
      <c r="G2984" s="710">
        <v>231</v>
      </c>
      <c r="H2984" s="682">
        <v>3100</v>
      </c>
      <c r="J2984" s="668" t="str">
        <f t="shared" ref="J2984:J2992" si="519">E2984</f>
        <v>(1) Louisiana Teachers Retirement</v>
      </c>
      <c r="L2984" s="668">
        <v>92</v>
      </c>
      <c r="M2984" s="669">
        <v>87</v>
      </c>
      <c r="N2984" s="668"/>
      <c r="O2984" s="668">
        <v>21</v>
      </c>
      <c r="P2984" s="668" t="str">
        <f>IFERROR(VLOOKUP(F2984, [2]MOE!B:C, 2, FALSE), "No")</f>
        <v>No</v>
      </c>
      <c r="Q2984" s="711" t="s">
        <v>1004</v>
      </c>
      <c r="S2984" s="670" t="s">
        <v>712</v>
      </c>
      <c r="T2984" s="668" t="s">
        <v>1074</v>
      </c>
    </row>
    <row r="2985" spans="1:20">
      <c r="A2985" s="679">
        <v>2333100</v>
      </c>
      <c r="B2985" s="672"/>
      <c r="C2985" s="672"/>
      <c r="D2985" s="672"/>
      <c r="E2985" s="676" t="s">
        <v>1075</v>
      </c>
      <c r="F2985" s="680" t="s">
        <v>3943</v>
      </c>
      <c r="G2985" s="710">
        <v>233</v>
      </c>
      <c r="H2985" s="682">
        <v>3100</v>
      </c>
      <c r="J2985" s="668" t="str">
        <f t="shared" si="519"/>
        <v>(2) Louisiana School Employees Retirement</v>
      </c>
      <c r="L2985" s="668">
        <v>92</v>
      </c>
      <c r="M2985" s="669">
        <v>87</v>
      </c>
      <c r="N2985" s="668"/>
      <c r="O2985" s="668">
        <v>21</v>
      </c>
      <c r="P2985" s="668" t="str">
        <f>IFERROR(VLOOKUP(F2985, [2]MOE!B:C, 2, FALSE), "No")</f>
        <v>No</v>
      </c>
      <c r="Q2985" s="711" t="s">
        <v>1004</v>
      </c>
      <c r="S2985" s="670" t="s">
        <v>712</v>
      </c>
      <c r="T2985" s="668" t="s">
        <v>1077</v>
      </c>
    </row>
    <row r="2986" spans="1:20">
      <c r="A2986" s="679">
        <v>2393100</v>
      </c>
      <c r="B2986" s="672"/>
      <c r="C2986" s="672"/>
      <c r="D2986" s="672"/>
      <c r="E2986" s="676" t="s">
        <v>1078</v>
      </c>
      <c r="F2986" s="680" t="s">
        <v>3944</v>
      </c>
      <c r="G2986" s="710">
        <v>239</v>
      </c>
      <c r="H2986" s="682">
        <v>3100</v>
      </c>
      <c r="J2986" s="668" t="str">
        <f t="shared" si="519"/>
        <v>(3) Other Retirement</v>
      </c>
      <c r="L2986" s="668">
        <v>92</v>
      </c>
      <c r="M2986" s="669">
        <v>87</v>
      </c>
      <c r="N2986" s="668"/>
      <c r="O2986" s="668">
        <v>21</v>
      </c>
      <c r="P2986" s="668" t="str">
        <f>IFERROR(VLOOKUP(F2986, [2]MOE!B:C, 2, FALSE), "No")</f>
        <v>No</v>
      </c>
      <c r="Q2986" s="711" t="s">
        <v>1004</v>
      </c>
      <c r="S2986" s="670" t="s">
        <v>712</v>
      </c>
      <c r="T2986" s="668" t="s">
        <v>1080</v>
      </c>
    </row>
    <row r="2987" spans="1:20">
      <c r="A2987" s="679">
        <v>2503100</v>
      </c>
      <c r="B2987" s="672"/>
      <c r="C2987" s="672"/>
      <c r="D2987" s="672" t="s">
        <v>850</v>
      </c>
      <c r="E2987" s="676" t="s">
        <v>1081</v>
      </c>
      <c r="F2987" s="680" t="s">
        <v>3945</v>
      </c>
      <c r="G2987" s="710">
        <v>250</v>
      </c>
      <c r="H2987" s="682">
        <v>3100</v>
      </c>
      <c r="J2987" s="668" t="str">
        <f t="shared" si="519"/>
        <v>Unemployment Compensation</v>
      </c>
      <c r="L2987" s="668">
        <v>93</v>
      </c>
      <c r="M2987" s="669">
        <v>88</v>
      </c>
      <c r="N2987" s="668"/>
      <c r="O2987" s="668">
        <v>21</v>
      </c>
      <c r="P2987" s="668" t="str">
        <f>IFERROR(VLOOKUP(F2987, [2]MOE!B:C, 2, FALSE), "No")</f>
        <v>No</v>
      </c>
      <c r="Q2987" s="711" t="s">
        <v>1004</v>
      </c>
      <c r="S2987" s="670" t="s">
        <v>712</v>
      </c>
      <c r="T2987" s="668" t="s">
        <v>1081</v>
      </c>
    </row>
    <row r="2988" spans="1:20">
      <c r="A2988" s="679">
        <v>2603100</v>
      </c>
      <c r="B2988" s="672"/>
      <c r="C2988" s="672"/>
      <c r="D2988" s="672" t="s">
        <v>853</v>
      </c>
      <c r="E2988" s="676" t="s">
        <v>1083</v>
      </c>
      <c r="F2988" s="680" t="s">
        <v>3946</v>
      </c>
      <c r="G2988" s="710">
        <v>260</v>
      </c>
      <c r="H2988" s="682">
        <v>3100</v>
      </c>
      <c r="J2988" s="668" t="str">
        <f t="shared" si="519"/>
        <v>Workmen's Compensation</v>
      </c>
      <c r="L2988" s="668">
        <v>95</v>
      </c>
      <c r="M2988" s="669">
        <v>90</v>
      </c>
      <c r="N2988" s="668"/>
      <c r="O2988" s="668">
        <v>21</v>
      </c>
      <c r="P2988" s="668" t="str">
        <f>IFERROR(VLOOKUP(F2988, [2]MOE!B:C, 2, FALSE), "No")</f>
        <v>No</v>
      </c>
      <c r="Q2988" s="711" t="s">
        <v>1004</v>
      </c>
      <c r="S2988" s="670" t="s">
        <v>712</v>
      </c>
      <c r="T2988" s="668" t="s">
        <v>1083</v>
      </c>
    </row>
    <row r="2989" spans="1:20">
      <c r="A2989" s="679">
        <v>2703100</v>
      </c>
      <c r="B2989" s="672"/>
      <c r="C2989" s="672"/>
      <c r="D2989" s="672" t="s">
        <v>856</v>
      </c>
      <c r="E2989" s="676" t="s">
        <v>1085</v>
      </c>
      <c r="F2989" s="680" t="s">
        <v>3947</v>
      </c>
      <c r="G2989" s="710">
        <v>270</v>
      </c>
      <c r="H2989" s="682">
        <v>3100</v>
      </c>
      <c r="J2989" s="668" t="str">
        <f t="shared" si="519"/>
        <v>Health Benefits (retirees)</v>
      </c>
      <c r="L2989" s="668">
        <v>94</v>
      </c>
      <c r="M2989" s="669">
        <v>89</v>
      </c>
      <c r="N2989" s="668"/>
      <c r="O2989" s="668">
        <v>21</v>
      </c>
      <c r="P2989" s="668" t="str">
        <f>IFERROR(VLOOKUP(F2989, [2]MOE!B:C, 2, FALSE), "No")</f>
        <v>No</v>
      </c>
      <c r="Q2989" s="711" t="s">
        <v>1004</v>
      </c>
      <c r="S2989" s="670" t="s">
        <v>712</v>
      </c>
      <c r="T2989" s="668" t="s">
        <v>1085</v>
      </c>
    </row>
    <row r="2990" spans="1:20">
      <c r="A2990" s="679">
        <v>2813100</v>
      </c>
      <c r="B2990" s="672"/>
      <c r="C2990" s="672"/>
      <c r="D2990" s="672" t="s">
        <v>859</v>
      </c>
      <c r="E2990" s="676" t="s">
        <v>1087</v>
      </c>
      <c r="F2990" s="680" t="s">
        <v>3948</v>
      </c>
      <c r="G2990" s="710">
        <v>281</v>
      </c>
      <c r="H2990" s="682">
        <v>3100</v>
      </c>
      <c r="J2990" s="668" t="str">
        <f t="shared" si="519"/>
        <v>Sick Leave Severance Pay</v>
      </c>
      <c r="L2990" s="668">
        <v>95</v>
      </c>
      <c r="M2990" s="669">
        <v>90</v>
      </c>
      <c r="N2990" s="668"/>
      <c r="O2990" s="668">
        <v>21</v>
      </c>
      <c r="P2990" s="668" t="str">
        <f>IFERROR(VLOOKUP(F2990, [2]MOE!B:C, 2, FALSE), "No")</f>
        <v>No</v>
      </c>
      <c r="Q2990" s="711" t="s">
        <v>1004</v>
      </c>
      <c r="S2990" s="670" t="s">
        <v>712</v>
      </c>
      <c r="T2990" s="668" t="s">
        <v>1087</v>
      </c>
    </row>
    <row r="2991" spans="1:20">
      <c r="A2991" s="679">
        <v>2823100</v>
      </c>
      <c r="B2991" s="672"/>
      <c r="C2991" s="672"/>
      <c r="D2991" s="672" t="s">
        <v>862</v>
      </c>
      <c r="E2991" s="676" t="s">
        <v>1089</v>
      </c>
      <c r="F2991" s="680" t="s">
        <v>3949</v>
      </c>
      <c r="G2991" s="710">
        <v>282</v>
      </c>
      <c r="H2991" s="682">
        <v>3100</v>
      </c>
      <c r="J2991" s="668" t="str">
        <f t="shared" si="519"/>
        <v>Annual Leave Severance Pay</v>
      </c>
      <c r="L2991" s="668">
        <v>95</v>
      </c>
      <c r="M2991" s="669">
        <v>90</v>
      </c>
      <c r="N2991" s="668"/>
      <c r="O2991" s="668">
        <v>21</v>
      </c>
      <c r="P2991" s="668" t="str">
        <f>IFERROR(VLOOKUP(F2991, [2]MOE!B:C, 2, FALSE), "No")</f>
        <v>No</v>
      </c>
      <c r="Q2991" s="711" t="s">
        <v>1004</v>
      </c>
      <c r="S2991" s="670" t="s">
        <v>712</v>
      </c>
      <c r="T2991" s="668" t="s">
        <v>1089</v>
      </c>
    </row>
    <row r="2992" spans="1:20" ht="16" thickBot="1">
      <c r="A2992" s="679">
        <v>2903100</v>
      </c>
      <c r="B2992" s="716"/>
      <c r="C2992" s="672"/>
      <c r="D2992" s="672" t="s">
        <v>1091</v>
      </c>
      <c r="E2992" s="676" t="s">
        <v>1092</v>
      </c>
      <c r="F2992" s="680" t="s">
        <v>3950</v>
      </c>
      <c r="G2992" s="710">
        <v>290</v>
      </c>
      <c r="H2992" s="682">
        <v>3100</v>
      </c>
      <c r="J2992" s="668" t="str">
        <f t="shared" si="519"/>
        <v>Other Employee Benefits</v>
      </c>
      <c r="L2992" s="668">
        <v>95</v>
      </c>
      <c r="M2992" s="669">
        <v>90</v>
      </c>
      <c r="N2992" s="668"/>
      <c r="O2992" s="668">
        <v>21</v>
      </c>
      <c r="P2992" s="668" t="str">
        <f>IFERROR(VLOOKUP(F2992, [2]MOE!B:C, 2, FALSE), "No")</f>
        <v>No</v>
      </c>
      <c r="Q2992" s="711" t="s">
        <v>1004</v>
      </c>
      <c r="S2992" s="670" t="s">
        <v>712</v>
      </c>
      <c r="T2992" s="668" t="s">
        <v>1092</v>
      </c>
    </row>
    <row r="2993" spans="1:20" ht="16.5" thickTop="1" thickBot="1">
      <c r="A2993" s="671"/>
      <c r="B2993" s="663"/>
      <c r="C2993" s="929" t="s">
        <v>3951</v>
      </c>
      <c r="D2993" s="930"/>
      <c r="E2993" s="932"/>
      <c r="F2993" s="705" t="s">
        <v>635</v>
      </c>
      <c r="G2993" s="706"/>
      <c r="H2993" s="707"/>
      <c r="Q2993" s="711"/>
      <c r="S2993" s="670"/>
    </row>
    <row r="2994" spans="1:20" ht="16" thickTop="1">
      <c r="A2994" s="671"/>
      <c r="B2994" s="672"/>
      <c r="C2994" s="672"/>
      <c r="D2994" s="672"/>
      <c r="E2994" s="676"/>
      <c r="F2994" s="675"/>
      <c r="G2994" s="672"/>
      <c r="H2994" s="676"/>
      <c r="Q2994" s="711"/>
      <c r="S2994" s="670"/>
    </row>
    <row r="2995" spans="1:20">
      <c r="A2995" s="671"/>
      <c r="B2995" s="677" t="s">
        <v>1095</v>
      </c>
      <c r="C2995" s="928" t="s">
        <v>3952</v>
      </c>
      <c r="D2995" s="795"/>
      <c r="E2995" s="926"/>
      <c r="F2995" s="675"/>
      <c r="G2995" s="672"/>
      <c r="H2995" s="676"/>
      <c r="Q2995" s="711"/>
      <c r="S2995" s="670"/>
    </row>
    <row r="2996" spans="1:20">
      <c r="A2996" s="671"/>
      <c r="B2996" s="672"/>
      <c r="C2996" s="678">
        <v>98</v>
      </c>
      <c r="D2996" s="927" t="s">
        <v>244</v>
      </c>
      <c r="E2996" s="926"/>
      <c r="F2996" s="675"/>
      <c r="G2996" s="672"/>
      <c r="H2996" s="676"/>
      <c r="Q2996" s="711"/>
      <c r="S2996" s="670"/>
    </row>
    <row r="2997" spans="1:20">
      <c r="A2997" s="679">
        <v>1113200</v>
      </c>
      <c r="B2997" s="672"/>
      <c r="C2997" s="672"/>
      <c r="D2997" s="672" t="s">
        <v>759</v>
      </c>
      <c r="E2997" s="676" t="s">
        <v>3953</v>
      </c>
      <c r="F2997" s="680" t="s">
        <v>3954</v>
      </c>
      <c r="G2997" s="710">
        <v>111</v>
      </c>
      <c r="H2997" s="682">
        <v>3200</v>
      </c>
      <c r="J2997" s="668" t="str">
        <f t="shared" ref="J2997:J2999" si="520">E2997</f>
        <v>Administrator</v>
      </c>
      <c r="L2997" s="668">
        <v>81</v>
      </c>
      <c r="M2997" s="669">
        <v>76</v>
      </c>
      <c r="N2997" s="668"/>
      <c r="O2997" s="668">
        <v>22</v>
      </c>
      <c r="P2997" s="668" t="str">
        <f>IFERROR(VLOOKUP(F2997, [2]MOE!B:C, 2, FALSE), "No")</f>
        <v>No</v>
      </c>
      <c r="Q2997" s="711"/>
      <c r="S2997" s="670" t="s">
        <v>713</v>
      </c>
      <c r="T2997" s="668" t="s">
        <v>3953</v>
      </c>
    </row>
    <row r="2998" spans="1:20">
      <c r="A2998" s="679">
        <v>1143200</v>
      </c>
      <c r="B2998" s="672"/>
      <c r="C2998" s="672"/>
      <c r="D2998" s="672" t="s">
        <v>777</v>
      </c>
      <c r="E2998" s="676" t="s">
        <v>1854</v>
      </c>
      <c r="F2998" s="680" t="s">
        <v>3955</v>
      </c>
      <c r="G2998" s="710">
        <v>114</v>
      </c>
      <c r="H2998" s="682">
        <v>3200</v>
      </c>
      <c r="J2998" s="668" t="str">
        <f t="shared" si="520"/>
        <v>Clerical/Secretarial</v>
      </c>
      <c r="L2998" s="668">
        <v>84</v>
      </c>
      <c r="M2998" s="669">
        <v>79</v>
      </c>
      <c r="N2998" s="668"/>
      <c r="O2998" s="668">
        <v>22</v>
      </c>
      <c r="P2998" s="668" t="str">
        <f>IFERROR(VLOOKUP(F2998, [2]MOE!B:C, 2, FALSE), "No")</f>
        <v>No</v>
      </c>
      <c r="Q2998" s="711"/>
      <c r="S2998" s="670" t="s">
        <v>713</v>
      </c>
      <c r="T2998" s="668" t="s">
        <v>1854</v>
      </c>
    </row>
    <row r="2999" spans="1:20">
      <c r="A2999" s="679">
        <v>1003200</v>
      </c>
      <c r="B2999" s="672"/>
      <c r="C2999" s="672"/>
      <c r="D2999" s="672" t="s">
        <v>801</v>
      </c>
      <c r="E2999" s="676" t="s">
        <v>3956</v>
      </c>
      <c r="F2999" s="680" t="s">
        <v>3957</v>
      </c>
      <c r="G2999" s="710">
        <v>100</v>
      </c>
      <c r="H2999" s="682">
        <v>3200</v>
      </c>
      <c r="J2999" s="668" t="str">
        <f t="shared" si="520"/>
        <v>Other Salaries - Enterprise Operations</v>
      </c>
      <c r="L2999" s="668">
        <v>86</v>
      </c>
      <c r="M2999" s="669">
        <v>81</v>
      </c>
      <c r="N2999" s="668"/>
      <c r="O2999" s="668">
        <v>22</v>
      </c>
      <c r="P2999" s="668" t="str">
        <f>IFERROR(VLOOKUP(F2999, [2]MOE!B:C, 2, FALSE), "No")</f>
        <v>No</v>
      </c>
      <c r="Q2999" s="711"/>
      <c r="S2999" s="670" t="s">
        <v>713</v>
      </c>
      <c r="T2999" s="668" t="s">
        <v>3956</v>
      </c>
    </row>
    <row r="3000" spans="1:20">
      <c r="A3000" s="679">
        <v>3003200</v>
      </c>
      <c r="B3000" s="672"/>
      <c r="C3000" s="678">
        <v>99</v>
      </c>
      <c r="D3000" s="927" t="s">
        <v>1113</v>
      </c>
      <c r="E3000" s="926"/>
      <c r="F3000" s="680" t="s">
        <v>3958</v>
      </c>
      <c r="G3000" s="710">
        <v>300</v>
      </c>
      <c r="H3000" s="682">
        <v>3200</v>
      </c>
      <c r="J3000" s="668" t="str">
        <f>D3000</f>
        <v>Purchased Professional and Technical Svcs</v>
      </c>
      <c r="L3000" s="668">
        <v>101</v>
      </c>
      <c r="M3000" s="669">
        <v>96</v>
      </c>
      <c r="N3000" s="668"/>
      <c r="O3000" s="668">
        <v>22</v>
      </c>
      <c r="P3000" s="668" t="str">
        <f>IFERROR(VLOOKUP(F3000, [2]MOE!B:C, 2, FALSE), "No")</f>
        <v>No</v>
      </c>
      <c r="Q3000" s="711"/>
      <c r="S3000" s="670" t="s">
        <v>713</v>
      </c>
      <c r="T3000" s="668" t="s">
        <v>1113</v>
      </c>
    </row>
    <row r="3001" spans="1:20">
      <c r="A3001" s="671"/>
      <c r="B3001" s="672"/>
      <c r="C3001" s="678">
        <v>100</v>
      </c>
      <c r="D3001" s="927" t="s">
        <v>250</v>
      </c>
      <c r="E3001" s="926"/>
      <c r="F3001" s="675"/>
      <c r="G3001" s="672"/>
      <c r="H3001" s="676"/>
      <c r="Q3001" s="711"/>
      <c r="S3001" s="670"/>
    </row>
    <row r="3002" spans="1:20">
      <c r="A3002" s="679">
        <v>4303200</v>
      </c>
      <c r="B3002" s="672"/>
      <c r="C3002" s="672"/>
      <c r="D3002" s="672" t="s">
        <v>759</v>
      </c>
      <c r="E3002" s="676" t="s">
        <v>1023</v>
      </c>
      <c r="F3002" s="680" t="s">
        <v>3959</v>
      </c>
      <c r="G3002" s="710">
        <v>430</v>
      </c>
      <c r="H3002" s="682">
        <v>3200</v>
      </c>
      <c r="J3002" s="668" t="str">
        <f t="shared" ref="J3002:J3003" si="521">E3002</f>
        <v>Repairs and Maintenance Services</v>
      </c>
      <c r="L3002" s="668">
        <v>107</v>
      </c>
      <c r="M3002" s="669">
        <v>102</v>
      </c>
      <c r="N3002" s="668"/>
      <c r="O3002" s="668">
        <v>22</v>
      </c>
      <c r="P3002" s="668" t="str">
        <f>IFERROR(VLOOKUP(F3002, [2]MOE!B:C, 2, FALSE), "No")</f>
        <v>No</v>
      </c>
      <c r="Q3002" s="711"/>
      <c r="S3002" s="670" t="s">
        <v>713</v>
      </c>
      <c r="T3002" s="668" t="s">
        <v>1023</v>
      </c>
    </row>
    <row r="3003" spans="1:20">
      <c r="A3003" s="679">
        <v>4003200</v>
      </c>
      <c r="B3003" s="672"/>
      <c r="C3003" s="672"/>
      <c r="D3003" s="672" t="s">
        <v>777</v>
      </c>
      <c r="E3003" s="676" t="s">
        <v>1027</v>
      </c>
      <c r="F3003" s="680" t="s">
        <v>3960</v>
      </c>
      <c r="G3003" s="710">
        <v>400</v>
      </c>
      <c r="H3003" s="682">
        <v>3200</v>
      </c>
      <c r="J3003" s="668" t="str">
        <f t="shared" si="521"/>
        <v>Other Purchased Property Services</v>
      </c>
      <c r="L3003" s="668">
        <v>108</v>
      </c>
      <c r="M3003" s="669">
        <v>103</v>
      </c>
      <c r="N3003" s="668"/>
      <c r="O3003" s="668">
        <v>22</v>
      </c>
      <c r="P3003" s="668" t="str">
        <f>IFERROR(VLOOKUP(F3003, [2]MOE!B:C, 2, FALSE), "No")</f>
        <v>No</v>
      </c>
      <c r="Q3003" s="711"/>
      <c r="S3003" s="670" t="s">
        <v>713</v>
      </c>
      <c r="T3003" s="668" t="s">
        <v>1027</v>
      </c>
    </row>
    <row r="3004" spans="1:20">
      <c r="A3004" s="671"/>
      <c r="B3004" s="672"/>
      <c r="C3004" s="678">
        <v>101</v>
      </c>
      <c r="D3004" s="927" t="s">
        <v>252</v>
      </c>
      <c r="E3004" s="926"/>
      <c r="F3004" s="675"/>
      <c r="G3004" s="672"/>
      <c r="H3004" s="676"/>
      <c r="Q3004" s="711"/>
      <c r="S3004" s="670"/>
    </row>
    <row r="3005" spans="1:20">
      <c r="A3005" s="679">
        <v>5823200</v>
      </c>
      <c r="B3005" s="672"/>
      <c r="C3005" s="672"/>
      <c r="D3005" s="672" t="s">
        <v>759</v>
      </c>
      <c r="E3005" s="676" t="s">
        <v>1039</v>
      </c>
      <c r="F3005" s="680" t="s">
        <v>3961</v>
      </c>
      <c r="G3005" s="710">
        <v>582</v>
      </c>
      <c r="H3005" s="682">
        <v>3200</v>
      </c>
      <c r="J3005" s="668" t="str">
        <f t="shared" ref="J3005:J3006" si="522">E3005</f>
        <v>Travel Expense Reimbursement</v>
      </c>
      <c r="L3005" s="668">
        <v>118</v>
      </c>
      <c r="M3005" s="669">
        <v>109</v>
      </c>
      <c r="N3005" s="668"/>
      <c r="O3005" s="668">
        <v>22</v>
      </c>
      <c r="P3005" s="668" t="str">
        <f>IFERROR(VLOOKUP(F3005, [2]MOE!B:C, 2, FALSE), "No")</f>
        <v>No</v>
      </c>
      <c r="Q3005" s="711"/>
      <c r="S3005" s="670" t="s">
        <v>713</v>
      </c>
      <c r="T3005" s="668" t="s">
        <v>1039</v>
      </c>
    </row>
    <row r="3006" spans="1:20">
      <c r="A3006" s="679">
        <v>5003200</v>
      </c>
      <c r="B3006" s="672"/>
      <c r="C3006" s="672"/>
      <c r="D3006" s="672" t="s">
        <v>777</v>
      </c>
      <c r="E3006" s="676" t="s">
        <v>252</v>
      </c>
      <c r="F3006" s="680" t="s">
        <v>3962</v>
      </c>
      <c r="G3006" s="710">
        <v>500</v>
      </c>
      <c r="H3006" s="682">
        <v>3200</v>
      </c>
      <c r="J3006" s="668" t="str">
        <f t="shared" si="522"/>
        <v>Other Purchased Services</v>
      </c>
      <c r="L3006" s="668">
        <v>119</v>
      </c>
      <c r="M3006" s="669">
        <v>110</v>
      </c>
      <c r="N3006" s="668"/>
      <c r="O3006" s="668">
        <v>22</v>
      </c>
      <c r="P3006" s="668" t="str">
        <f>IFERROR(VLOOKUP(F3006, [2]MOE!B:C, 2, FALSE), "No")</f>
        <v>No</v>
      </c>
      <c r="Q3006" s="711"/>
      <c r="S3006" s="670" t="s">
        <v>713</v>
      </c>
      <c r="T3006" s="668" t="s">
        <v>252</v>
      </c>
    </row>
    <row r="3007" spans="1:20">
      <c r="A3007" s="671"/>
      <c r="B3007" s="672"/>
      <c r="C3007" s="678">
        <v>102</v>
      </c>
      <c r="D3007" s="927" t="s">
        <v>254</v>
      </c>
      <c r="E3007" s="926"/>
      <c r="F3007" s="675"/>
      <c r="G3007" s="672"/>
      <c r="H3007" s="676"/>
      <c r="Q3007" s="711"/>
      <c r="S3007" s="670"/>
    </row>
    <row r="3008" spans="1:20">
      <c r="A3008" s="679">
        <v>6153200</v>
      </c>
      <c r="B3008" s="672"/>
      <c r="C3008" s="672"/>
      <c r="D3008" s="672" t="s">
        <v>759</v>
      </c>
      <c r="E3008" s="676" t="s">
        <v>1043</v>
      </c>
      <c r="F3008" s="680" t="s">
        <v>3963</v>
      </c>
      <c r="G3008" s="710">
        <v>615</v>
      </c>
      <c r="H3008" s="682">
        <v>3200</v>
      </c>
      <c r="J3008" s="668" t="str">
        <f t="shared" ref="J3008:J3010" si="523">E3008</f>
        <v>Technology-Related Supplies</v>
      </c>
      <c r="L3008" s="668">
        <v>126</v>
      </c>
      <c r="M3008" s="669">
        <v>117</v>
      </c>
      <c r="N3008" s="668"/>
      <c r="O3008" s="668">
        <v>22</v>
      </c>
      <c r="P3008" s="668" t="str">
        <f>IFERROR(VLOOKUP(F3008, [2]MOE!B:C, 2, FALSE), "No")</f>
        <v>No</v>
      </c>
      <c r="Q3008" s="711" t="s">
        <v>1045</v>
      </c>
      <c r="S3008" s="670" t="s">
        <v>713</v>
      </c>
      <c r="T3008" s="668" t="s">
        <v>1043</v>
      </c>
    </row>
    <row r="3009" spans="1:20">
      <c r="A3009" s="679">
        <v>6103200</v>
      </c>
      <c r="B3009" s="672"/>
      <c r="C3009" s="672"/>
      <c r="D3009" s="672" t="s">
        <v>777</v>
      </c>
      <c r="E3009" s="676" t="s">
        <v>39</v>
      </c>
      <c r="F3009" s="680" t="s">
        <v>3964</v>
      </c>
      <c r="G3009" s="710">
        <v>610</v>
      </c>
      <c r="H3009" s="682">
        <v>3200</v>
      </c>
      <c r="J3009" s="668" t="str">
        <f t="shared" si="523"/>
        <v>Materials and Supplies</v>
      </c>
      <c r="L3009" s="668">
        <v>122</v>
      </c>
      <c r="M3009" s="669">
        <v>113</v>
      </c>
      <c r="N3009" s="668"/>
      <c r="O3009" s="668">
        <v>22</v>
      </c>
      <c r="P3009" s="668" t="str">
        <f>IFERROR(VLOOKUP(F3009, [2]MOE!B:C, 2, FALSE), "No")</f>
        <v>No</v>
      </c>
      <c r="Q3009" s="711" t="s">
        <v>1045</v>
      </c>
      <c r="S3009" s="670" t="s">
        <v>713</v>
      </c>
      <c r="T3009" s="668" t="s">
        <v>39</v>
      </c>
    </row>
    <row r="3010" spans="1:20">
      <c r="A3010" s="679">
        <v>6003200</v>
      </c>
      <c r="B3010" s="672"/>
      <c r="C3010" s="672"/>
      <c r="D3010" s="672" t="s">
        <v>801</v>
      </c>
      <c r="E3010" s="676" t="s">
        <v>1050</v>
      </c>
      <c r="F3010" s="680" t="s">
        <v>3965</v>
      </c>
      <c r="G3010" s="710">
        <v>600</v>
      </c>
      <c r="H3010" s="682">
        <v>3200</v>
      </c>
      <c r="J3010" s="668" t="str">
        <f t="shared" si="523"/>
        <v>Other Supplies</v>
      </c>
      <c r="L3010" s="668">
        <v>126</v>
      </c>
      <c r="M3010" s="669">
        <v>117</v>
      </c>
      <c r="N3010" s="668"/>
      <c r="O3010" s="668">
        <v>22</v>
      </c>
      <c r="P3010" s="668" t="str">
        <f>IFERROR(VLOOKUP(F3010, [2]MOE!B:C, 2, FALSE), "No")</f>
        <v>No</v>
      </c>
      <c r="Q3010" s="711"/>
      <c r="S3010" s="670" t="s">
        <v>713</v>
      </c>
      <c r="T3010" s="668" t="s">
        <v>1050</v>
      </c>
    </row>
    <row r="3011" spans="1:20">
      <c r="A3011" s="671"/>
      <c r="B3011" s="672"/>
      <c r="C3011" s="678">
        <v>103</v>
      </c>
      <c r="D3011" s="927" t="s">
        <v>1052</v>
      </c>
      <c r="E3011" s="926"/>
      <c r="F3011" s="675"/>
      <c r="G3011" s="672"/>
      <c r="H3011" s="676"/>
      <c r="Q3011" s="711"/>
      <c r="S3011" s="670"/>
    </row>
    <row r="3012" spans="1:20">
      <c r="A3012" s="679">
        <v>7343200</v>
      </c>
      <c r="B3012" s="672"/>
      <c r="C3012" s="672"/>
      <c r="D3012" s="672" t="s">
        <v>759</v>
      </c>
      <c r="E3012" s="676" t="s">
        <v>1053</v>
      </c>
      <c r="F3012" s="680" t="s">
        <v>3966</v>
      </c>
      <c r="G3012" s="710">
        <v>734</v>
      </c>
      <c r="H3012" s="682">
        <v>3200</v>
      </c>
      <c r="J3012" s="668" t="str">
        <f t="shared" ref="J3012:J3015" si="524">E3012</f>
        <v>Technology-Related Hardware</v>
      </c>
      <c r="L3012" s="668">
        <v>131</v>
      </c>
      <c r="M3012" s="669">
        <v>122</v>
      </c>
      <c r="N3012" s="668"/>
      <c r="O3012" s="668">
        <v>22</v>
      </c>
      <c r="P3012" s="668" t="str">
        <f>IFERROR(VLOOKUP(F3012, [2]MOE!B:C, 2, FALSE), "No")</f>
        <v>No</v>
      </c>
      <c r="Q3012" s="711"/>
      <c r="S3012" s="670" t="s">
        <v>713</v>
      </c>
      <c r="T3012" s="668" t="s">
        <v>1053</v>
      </c>
    </row>
    <row r="3013" spans="1:20">
      <c r="A3013" s="679">
        <v>7353200</v>
      </c>
      <c r="B3013" s="672"/>
      <c r="C3013" s="672"/>
      <c r="D3013" s="672" t="s">
        <v>777</v>
      </c>
      <c r="E3013" s="676" t="s">
        <v>1055</v>
      </c>
      <c r="F3013" s="680" t="s">
        <v>3967</v>
      </c>
      <c r="G3013" s="710">
        <v>735</v>
      </c>
      <c r="H3013" s="682">
        <v>3200</v>
      </c>
      <c r="J3013" s="668" t="str">
        <f t="shared" si="524"/>
        <v>Technology Software</v>
      </c>
      <c r="L3013" s="668">
        <v>131</v>
      </c>
      <c r="M3013" s="669">
        <v>122</v>
      </c>
      <c r="N3013" s="668"/>
      <c r="O3013" s="668">
        <v>22</v>
      </c>
      <c r="P3013" s="668" t="str">
        <f>IFERROR(VLOOKUP(F3013, [2]MOE!B:C, 2, FALSE), "No")</f>
        <v>No</v>
      </c>
      <c r="Q3013" s="711"/>
      <c r="S3013" s="670" t="s">
        <v>713</v>
      </c>
      <c r="T3013" s="668" t="s">
        <v>1055</v>
      </c>
    </row>
    <row r="3014" spans="1:20">
      <c r="A3014" s="679">
        <v>7303200</v>
      </c>
      <c r="B3014" s="672"/>
      <c r="C3014" s="672"/>
      <c r="D3014" s="672" t="s">
        <v>801</v>
      </c>
      <c r="E3014" s="676" t="s">
        <v>1057</v>
      </c>
      <c r="F3014" s="680" t="s">
        <v>3968</v>
      </c>
      <c r="G3014" s="710">
        <v>730</v>
      </c>
      <c r="H3014" s="682">
        <v>3200</v>
      </c>
      <c r="J3014" s="668" t="str">
        <f t="shared" si="524"/>
        <v>All Other Equipment</v>
      </c>
      <c r="L3014" s="668">
        <v>131</v>
      </c>
      <c r="M3014" s="669">
        <v>122</v>
      </c>
      <c r="N3014" s="668"/>
      <c r="O3014" s="668">
        <v>22</v>
      </c>
      <c r="P3014" s="668" t="str">
        <f>IFERROR(VLOOKUP(F3014, [2]MOE!B:C, 2, FALSE), "No")</f>
        <v>No</v>
      </c>
      <c r="Q3014" s="711"/>
      <c r="S3014" s="670" t="s">
        <v>713</v>
      </c>
      <c r="T3014" s="668" t="s">
        <v>1057</v>
      </c>
    </row>
    <row r="3015" spans="1:20">
      <c r="A3015" s="679">
        <v>7003200</v>
      </c>
      <c r="B3015" s="672"/>
      <c r="C3015" s="672"/>
      <c r="D3015" s="672" t="s">
        <v>805</v>
      </c>
      <c r="E3015" s="676" t="s">
        <v>1059</v>
      </c>
      <c r="F3015" s="680" t="s">
        <v>3969</v>
      </c>
      <c r="G3015" s="710">
        <v>700</v>
      </c>
      <c r="H3015" s="682">
        <v>3200</v>
      </c>
      <c r="J3015" s="668" t="str">
        <f t="shared" si="524"/>
        <v>Other Property</v>
      </c>
      <c r="L3015" s="668">
        <v>132</v>
      </c>
      <c r="M3015" s="669">
        <v>123</v>
      </c>
      <c r="N3015" s="668"/>
      <c r="O3015" s="668">
        <v>22</v>
      </c>
      <c r="P3015" s="668" t="str">
        <f>IFERROR(VLOOKUP(F3015, [2]MOE!B:C, 2, FALSE), "No")</f>
        <v>No</v>
      </c>
      <c r="Q3015" s="711"/>
      <c r="S3015" s="670" t="s">
        <v>713</v>
      </c>
      <c r="T3015" s="668" t="s">
        <v>1059</v>
      </c>
    </row>
    <row r="3016" spans="1:20">
      <c r="A3016" s="671"/>
      <c r="B3016" s="672"/>
      <c r="C3016" s="678">
        <v>104</v>
      </c>
      <c r="D3016" s="927" t="s">
        <v>256</v>
      </c>
      <c r="E3016" s="926"/>
      <c r="F3016" s="675"/>
      <c r="G3016" s="672"/>
      <c r="H3016" s="676"/>
      <c r="Q3016" s="711"/>
      <c r="S3016" s="670"/>
    </row>
    <row r="3017" spans="1:20">
      <c r="A3017" s="679">
        <v>8953200</v>
      </c>
      <c r="B3017" s="672"/>
      <c r="C3017" s="672"/>
      <c r="D3017" s="672" t="s">
        <v>759</v>
      </c>
      <c r="E3017" s="676" t="s">
        <v>1061</v>
      </c>
      <c r="F3017" s="680" t="s">
        <v>3970</v>
      </c>
      <c r="G3017" s="710">
        <v>895</v>
      </c>
      <c r="H3017" s="682">
        <v>3200</v>
      </c>
      <c r="J3017" s="668" t="str">
        <f t="shared" ref="J3017:J3018" si="525">E3017</f>
        <v>Miscellaneous Non-Public Expenditures</v>
      </c>
      <c r="L3017" s="668">
        <v>139</v>
      </c>
      <c r="M3017" s="669">
        <v>129</v>
      </c>
      <c r="N3017" s="668"/>
      <c r="O3017" s="668">
        <v>22</v>
      </c>
      <c r="P3017" s="668" t="str">
        <f>IFERROR(VLOOKUP(F3017, [2]MOE!B:C, 2, FALSE), "No")</f>
        <v>No</v>
      </c>
      <c r="Q3017" s="711"/>
      <c r="S3017" s="670" t="s">
        <v>713</v>
      </c>
      <c r="T3017" s="668" t="s">
        <v>1061</v>
      </c>
    </row>
    <row r="3018" spans="1:20">
      <c r="A3018" s="679">
        <v>8003200</v>
      </c>
      <c r="B3018" s="672"/>
      <c r="C3018" s="672"/>
      <c r="D3018" s="672" t="s">
        <v>777</v>
      </c>
      <c r="E3018" s="676" t="s">
        <v>1063</v>
      </c>
      <c r="F3018" s="680" t="s">
        <v>3971</v>
      </c>
      <c r="G3018" s="710">
        <v>800</v>
      </c>
      <c r="H3018" s="682">
        <v>3200</v>
      </c>
      <c r="J3018" s="668" t="str">
        <f t="shared" si="525"/>
        <v>Other Miscellaneous Expenditures</v>
      </c>
      <c r="L3018" s="668">
        <v>139</v>
      </c>
      <c r="M3018" s="669">
        <v>129</v>
      </c>
      <c r="N3018" s="668"/>
      <c r="O3018" s="668">
        <v>22</v>
      </c>
      <c r="P3018" s="668" t="str">
        <f>IFERROR(VLOOKUP(F3018, [2]MOE!B:C, 2, FALSE), "No")</f>
        <v>No</v>
      </c>
      <c r="Q3018" s="711"/>
      <c r="S3018" s="670" t="s">
        <v>713</v>
      </c>
      <c r="T3018" s="668" t="s">
        <v>1063</v>
      </c>
    </row>
    <row r="3019" spans="1:20">
      <c r="A3019" s="671"/>
      <c r="B3019" s="672"/>
      <c r="C3019" s="678">
        <v>105</v>
      </c>
      <c r="D3019" s="927" t="s">
        <v>3972</v>
      </c>
      <c r="E3019" s="926"/>
      <c r="F3019" s="675"/>
      <c r="G3019" s="672"/>
      <c r="H3019" s="676"/>
      <c r="Q3019" s="711"/>
      <c r="S3019" s="670"/>
    </row>
    <row r="3020" spans="1:20">
      <c r="A3020" s="679">
        <v>2103200</v>
      </c>
      <c r="B3020" s="672"/>
      <c r="C3020" s="672"/>
      <c r="D3020" s="672" t="s">
        <v>759</v>
      </c>
      <c r="E3020" s="676" t="s">
        <v>1066</v>
      </c>
      <c r="F3020" s="680" t="s">
        <v>3973</v>
      </c>
      <c r="G3020" s="710">
        <v>210</v>
      </c>
      <c r="H3020" s="682">
        <v>3200</v>
      </c>
      <c r="J3020" s="668" t="str">
        <f t="shared" ref="J3020:J3022" si="526">E3020</f>
        <v>Group Insurance</v>
      </c>
      <c r="L3020" s="668">
        <v>89</v>
      </c>
      <c r="M3020" s="669">
        <v>84</v>
      </c>
      <c r="N3020" s="668"/>
      <c r="O3020" s="668">
        <v>22</v>
      </c>
      <c r="P3020" s="668" t="str">
        <f>IFERROR(VLOOKUP(F3020, [2]MOE!B:C, 2, FALSE), "No")</f>
        <v>No</v>
      </c>
      <c r="Q3020" s="711"/>
      <c r="S3020" s="670" t="s">
        <v>713</v>
      </c>
      <c r="T3020" s="668" t="s">
        <v>1066</v>
      </c>
    </row>
    <row r="3021" spans="1:20">
      <c r="A3021" s="679">
        <v>2203200</v>
      </c>
      <c r="B3021" s="672"/>
      <c r="C3021" s="672"/>
      <c r="D3021" s="672" t="s">
        <v>777</v>
      </c>
      <c r="E3021" s="676" t="s">
        <v>1068</v>
      </c>
      <c r="F3021" s="680" t="s">
        <v>3974</v>
      </c>
      <c r="G3021" s="710">
        <v>220</v>
      </c>
      <c r="H3021" s="682">
        <v>3200</v>
      </c>
      <c r="J3021" s="668" t="str">
        <f t="shared" si="526"/>
        <v>FICA</v>
      </c>
      <c r="L3021" s="668">
        <v>90</v>
      </c>
      <c r="M3021" s="669">
        <v>85</v>
      </c>
      <c r="N3021" s="668"/>
      <c r="O3021" s="668">
        <v>22</v>
      </c>
      <c r="P3021" s="668" t="str">
        <f>IFERROR(VLOOKUP(F3021, [2]MOE!B:C, 2, FALSE), "No")</f>
        <v>No</v>
      </c>
      <c r="Q3021" s="711"/>
      <c r="S3021" s="670" t="s">
        <v>713</v>
      </c>
      <c r="T3021" s="668" t="s">
        <v>1068</v>
      </c>
    </row>
    <row r="3022" spans="1:20">
      <c r="A3022" s="679">
        <v>2253200</v>
      </c>
      <c r="B3022" s="672"/>
      <c r="C3022" s="672"/>
      <c r="D3022" s="672" t="s">
        <v>801</v>
      </c>
      <c r="E3022" s="676" t="s">
        <v>23</v>
      </c>
      <c r="F3022" s="680" t="s">
        <v>3975</v>
      </c>
      <c r="G3022" s="710">
        <v>225</v>
      </c>
      <c r="H3022" s="682">
        <v>3200</v>
      </c>
      <c r="J3022" s="668" t="str">
        <f t="shared" si="526"/>
        <v>Medicare</v>
      </c>
      <c r="L3022" s="668">
        <v>91</v>
      </c>
      <c r="M3022" s="669">
        <v>86</v>
      </c>
      <c r="N3022" s="668"/>
      <c r="O3022" s="668">
        <v>22</v>
      </c>
      <c r="P3022" s="668" t="str">
        <f>IFERROR(VLOOKUP(F3022, [2]MOE!B:C, 2, FALSE), "No")</f>
        <v>No</v>
      </c>
      <c r="Q3022" s="711"/>
      <c r="S3022" s="670" t="s">
        <v>713</v>
      </c>
      <c r="T3022" s="668" t="s">
        <v>23</v>
      </c>
    </row>
    <row r="3023" spans="1:20">
      <c r="A3023" s="671"/>
      <c r="B3023" s="672"/>
      <c r="C3023" s="672"/>
      <c r="D3023" s="672" t="s">
        <v>805</v>
      </c>
      <c r="E3023" s="676" t="s">
        <v>1071</v>
      </c>
      <c r="F3023" s="675"/>
      <c r="G3023" s="672"/>
      <c r="H3023" s="676"/>
      <c r="Q3023" s="711"/>
      <c r="S3023" s="670"/>
    </row>
    <row r="3024" spans="1:20">
      <c r="A3024" s="679">
        <v>2313200</v>
      </c>
      <c r="B3024" s="672"/>
      <c r="C3024" s="672"/>
      <c r="D3024" s="672"/>
      <c r="E3024" s="676" t="s">
        <v>1072</v>
      </c>
      <c r="F3024" s="680" t="s">
        <v>3976</v>
      </c>
      <c r="G3024" s="710">
        <v>231</v>
      </c>
      <c r="H3024" s="682">
        <v>3200</v>
      </c>
      <c r="J3024" s="668" t="str">
        <f t="shared" ref="J3024:J3032" si="527">E3024</f>
        <v>(1) Louisiana Teachers Retirement</v>
      </c>
      <c r="L3024" s="668">
        <v>92</v>
      </c>
      <c r="M3024" s="669">
        <v>87</v>
      </c>
      <c r="N3024" s="668"/>
      <c r="O3024" s="668">
        <v>22</v>
      </c>
      <c r="P3024" s="668" t="str">
        <f>IFERROR(VLOOKUP(F3024, [2]MOE!B:C, 2, FALSE), "No")</f>
        <v>No</v>
      </c>
      <c r="Q3024" s="711"/>
      <c r="S3024" s="670" t="s">
        <v>713</v>
      </c>
      <c r="T3024" s="668" t="s">
        <v>1074</v>
      </c>
    </row>
    <row r="3025" spans="1:20">
      <c r="A3025" s="679">
        <v>2333200</v>
      </c>
      <c r="B3025" s="672"/>
      <c r="C3025" s="672"/>
      <c r="D3025" s="672"/>
      <c r="E3025" s="676" t="s">
        <v>1075</v>
      </c>
      <c r="F3025" s="680" t="s">
        <v>3977</v>
      </c>
      <c r="G3025" s="710">
        <v>233</v>
      </c>
      <c r="H3025" s="682">
        <v>3200</v>
      </c>
      <c r="J3025" s="668" t="str">
        <f t="shared" si="527"/>
        <v>(2) Louisiana School Employees Retirement</v>
      </c>
      <c r="L3025" s="668">
        <v>92</v>
      </c>
      <c r="M3025" s="669">
        <v>87</v>
      </c>
      <c r="N3025" s="668"/>
      <c r="O3025" s="668">
        <v>22</v>
      </c>
      <c r="P3025" s="668" t="str">
        <f>IFERROR(VLOOKUP(F3025, [2]MOE!B:C, 2, FALSE), "No")</f>
        <v>No</v>
      </c>
      <c r="Q3025" s="711"/>
      <c r="S3025" s="670" t="s">
        <v>713</v>
      </c>
      <c r="T3025" s="668" t="s">
        <v>1077</v>
      </c>
    </row>
    <row r="3026" spans="1:20">
      <c r="A3026" s="679">
        <v>2393200</v>
      </c>
      <c r="B3026" s="672"/>
      <c r="C3026" s="672"/>
      <c r="D3026" s="672"/>
      <c r="E3026" s="676" t="s">
        <v>1078</v>
      </c>
      <c r="F3026" s="680" t="s">
        <v>3978</v>
      </c>
      <c r="G3026" s="710">
        <v>239</v>
      </c>
      <c r="H3026" s="682">
        <v>3200</v>
      </c>
      <c r="J3026" s="668" t="str">
        <f t="shared" si="527"/>
        <v>(3) Other Retirement</v>
      </c>
      <c r="L3026" s="668">
        <v>92</v>
      </c>
      <c r="M3026" s="669">
        <v>87</v>
      </c>
      <c r="N3026" s="668"/>
      <c r="O3026" s="668">
        <v>22</v>
      </c>
      <c r="P3026" s="668" t="str">
        <f>IFERROR(VLOOKUP(F3026, [2]MOE!B:C, 2, FALSE), "No")</f>
        <v>No</v>
      </c>
      <c r="Q3026" s="711"/>
      <c r="S3026" s="670" t="s">
        <v>713</v>
      </c>
      <c r="T3026" s="668" t="s">
        <v>1080</v>
      </c>
    </row>
    <row r="3027" spans="1:20">
      <c r="A3027" s="679">
        <v>2503200</v>
      </c>
      <c r="B3027" s="672"/>
      <c r="C3027" s="672"/>
      <c r="D3027" s="672" t="s">
        <v>850</v>
      </c>
      <c r="E3027" s="676" t="s">
        <v>1081</v>
      </c>
      <c r="F3027" s="680" t="s">
        <v>3979</v>
      </c>
      <c r="G3027" s="710">
        <v>250</v>
      </c>
      <c r="H3027" s="682">
        <v>3200</v>
      </c>
      <c r="J3027" s="668" t="str">
        <f t="shared" si="527"/>
        <v>Unemployment Compensation</v>
      </c>
      <c r="L3027" s="668">
        <v>93</v>
      </c>
      <c r="M3027" s="669">
        <v>88</v>
      </c>
      <c r="N3027" s="668"/>
      <c r="O3027" s="668">
        <v>22</v>
      </c>
      <c r="P3027" s="668" t="str">
        <f>IFERROR(VLOOKUP(F3027, [2]MOE!B:C, 2, FALSE), "No")</f>
        <v>No</v>
      </c>
      <c r="Q3027" s="711"/>
      <c r="S3027" s="670" t="s">
        <v>713</v>
      </c>
      <c r="T3027" s="668" t="s">
        <v>1081</v>
      </c>
    </row>
    <row r="3028" spans="1:20">
      <c r="A3028" s="679">
        <v>2603200</v>
      </c>
      <c r="B3028" s="672"/>
      <c r="C3028" s="672"/>
      <c r="D3028" s="672" t="s">
        <v>853</v>
      </c>
      <c r="E3028" s="676" t="s">
        <v>1083</v>
      </c>
      <c r="F3028" s="680" t="s">
        <v>3980</v>
      </c>
      <c r="G3028" s="710">
        <v>260</v>
      </c>
      <c r="H3028" s="682">
        <v>3200</v>
      </c>
      <c r="J3028" s="668" t="str">
        <f t="shared" si="527"/>
        <v>Workmen's Compensation</v>
      </c>
      <c r="L3028" s="668">
        <v>95</v>
      </c>
      <c r="M3028" s="669">
        <v>90</v>
      </c>
      <c r="N3028" s="668"/>
      <c r="O3028" s="668">
        <v>22</v>
      </c>
      <c r="P3028" s="668" t="str">
        <f>IFERROR(VLOOKUP(F3028, [2]MOE!B:C, 2, FALSE), "No")</f>
        <v>No</v>
      </c>
      <c r="Q3028" s="711"/>
      <c r="S3028" s="670" t="s">
        <v>713</v>
      </c>
      <c r="T3028" s="668" t="s">
        <v>1083</v>
      </c>
    </row>
    <row r="3029" spans="1:20">
      <c r="A3029" s="679">
        <v>2703200</v>
      </c>
      <c r="B3029" s="672"/>
      <c r="C3029" s="672"/>
      <c r="D3029" s="672" t="s">
        <v>856</v>
      </c>
      <c r="E3029" s="676" t="s">
        <v>1085</v>
      </c>
      <c r="F3029" s="680" t="s">
        <v>3981</v>
      </c>
      <c r="G3029" s="710">
        <v>270</v>
      </c>
      <c r="H3029" s="682">
        <v>3200</v>
      </c>
      <c r="J3029" s="668" t="str">
        <f t="shared" si="527"/>
        <v>Health Benefits (retirees)</v>
      </c>
      <c r="L3029" s="668">
        <v>94</v>
      </c>
      <c r="M3029" s="669">
        <v>89</v>
      </c>
      <c r="N3029" s="668"/>
      <c r="O3029" s="668">
        <v>22</v>
      </c>
      <c r="P3029" s="668" t="str">
        <f>IFERROR(VLOOKUP(F3029, [2]MOE!B:C, 2, FALSE), "No")</f>
        <v>No</v>
      </c>
      <c r="Q3029" s="711"/>
      <c r="S3029" s="670" t="s">
        <v>713</v>
      </c>
      <c r="T3029" s="668" t="s">
        <v>1085</v>
      </c>
    </row>
    <row r="3030" spans="1:20">
      <c r="A3030" s="679">
        <v>2813200</v>
      </c>
      <c r="B3030" s="672"/>
      <c r="C3030" s="672"/>
      <c r="D3030" s="672" t="s">
        <v>859</v>
      </c>
      <c r="E3030" s="676" t="s">
        <v>1087</v>
      </c>
      <c r="F3030" s="680" t="s">
        <v>3982</v>
      </c>
      <c r="G3030" s="710">
        <v>281</v>
      </c>
      <c r="H3030" s="682">
        <v>3200</v>
      </c>
      <c r="J3030" s="668" t="str">
        <f t="shared" si="527"/>
        <v>Sick Leave Severance Pay</v>
      </c>
      <c r="L3030" s="668">
        <v>95</v>
      </c>
      <c r="M3030" s="669">
        <v>90</v>
      </c>
      <c r="N3030" s="668"/>
      <c r="O3030" s="668">
        <v>22</v>
      </c>
      <c r="P3030" s="668" t="str">
        <f>IFERROR(VLOOKUP(F3030, [2]MOE!B:C, 2, FALSE), "No")</f>
        <v>No</v>
      </c>
      <c r="Q3030" s="711"/>
      <c r="S3030" s="670" t="s">
        <v>713</v>
      </c>
      <c r="T3030" s="668" t="s">
        <v>1087</v>
      </c>
    </row>
    <row r="3031" spans="1:20">
      <c r="A3031" s="679">
        <v>2823200</v>
      </c>
      <c r="B3031" s="672"/>
      <c r="C3031" s="672"/>
      <c r="D3031" s="672" t="s">
        <v>862</v>
      </c>
      <c r="E3031" s="676" t="s">
        <v>1089</v>
      </c>
      <c r="F3031" s="680" t="s">
        <v>3983</v>
      </c>
      <c r="G3031" s="710">
        <v>282</v>
      </c>
      <c r="H3031" s="682">
        <v>3200</v>
      </c>
      <c r="J3031" s="668" t="str">
        <f t="shared" si="527"/>
        <v>Annual Leave Severance Pay</v>
      </c>
      <c r="L3031" s="668">
        <v>95</v>
      </c>
      <c r="M3031" s="669">
        <v>90</v>
      </c>
      <c r="N3031" s="668"/>
      <c r="O3031" s="668">
        <v>22</v>
      </c>
      <c r="P3031" s="668" t="str">
        <f>IFERROR(VLOOKUP(F3031, [2]MOE!B:C, 2, FALSE), "No")</f>
        <v>No</v>
      </c>
      <c r="Q3031" s="711"/>
      <c r="S3031" s="670" t="s">
        <v>713</v>
      </c>
      <c r="T3031" s="668" t="s">
        <v>1089</v>
      </c>
    </row>
    <row r="3032" spans="1:20" ht="16" thickBot="1">
      <c r="A3032" s="679">
        <v>2903200</v>
      </c>
      <c r="B3032" s="716"/>
      <c r="C3032" s="672"/>
      <c r="D3032" s="672" t="s">
        <v>1091</v>
      </c>
      <c r="E3032" s="676" t="s">
        <v>1092</v>
      </c>
      <c r="F3032" s="680" t="s">
        <v>3984</v>
      </c>
      <c r="G3032" s="710">
        <v>290</v>
      </c>
      <c r="H3032" s="682">
        <v>3200</v>
      </c>
      <c r="J3032" s="668" t="str">
        <f t="shared" si="527"/>
        <v>Other Employee Benefits</v>
      </c>
      <c r="L3032" s="668">
        <v>95</v>
      </c>
      <c r="M3032" s="669">
        <v>90</v>
      </c>
      <c r="N3032" s="668"/>
      <c r="O3032" s="668">
        <v>22</v>
      </c>
      <c r="P3032" s="668" t="str">
        <f>IFERROR(VLOOKUP(F3032, [2]MOE!B:C, 2, FALSE), "No")</f>
        <v>No</v>
      </c>
      <c r="Q3032" s="711"/>
      <c r="S3032" s="670" t="s">
        <v>713</v>
      </c>
      <c r="T3032" s="668" t="s">
        <v>1092</v>
      </c>
    </row>
    <row r="3033" spans="1:20" ht="16.5" thickTop="1" thickBot="1">
      <c r="A3033" s="671"/>
      <c r="B3033" s="663"/>
      <c r="C3033" s="929" t="s">
        <v>3985</v>
      </c>
      <c r="D3033" s="930"/>
      <c r="E3033" s="932"/>
      <c r="F3033" s="705" t="s">
        <v>636</v>
      </c>
      <c r="G3033" s="706"/>
      <c r="H3033" s="707"/>
      <c r="Q3033" s="711"/>
      <c r="S3033" s="670"/>
    </row>
    <row r="3034" spans="1:20" ht="16" thickTop="1">
      <c r="A3034" s="671"/>
      <c r="B3034" s="672"/>
      <c r="C3034" s="672"/>
      <c r="D3034" s="672"/>
      <c r="E3034" s="676"/>
      <c r="F3034" s="675"/>
      <c r="G3034" s="672"/>
      <c r="H3034" s="676"/>
      <c r="Q3034" s="711"/>
      <c r="S3034" s="670"/>
    </row>
    <row r="3035" spans="1:20">
      <c r="A3035" s="671"/>
      <c r="B3035" s="677" t="s">
        <v>1228</v>
      </c>
      <c r="C3035" s="928" t="s">
        <v>3986</v>
      </c>
      <c r="D3035" s="795"/>
      <c r="E3035" s="926"/>
      <c r="F3035" s="675"/>
      <c r="G3035" s="672"/>
      <c r="H3035" s="676"/>
      <c r="Q3035" s="711"/>
      <c r="S3035" s="670"/>
    </row>
    <row r="3036" spans="1:20">
      <c r="A3036" s="671"/>
      <c r="B3036" s="672"/>
      <c r="C3036" s="678">
        <v>106</v>
      </c>
      <c r="D3036" s="927" t="s">
        <v>244</v>
      </c>
      <c r="E3036" s="926"/>
      <c r="F3036" s="675"/>
      <c r="G3036" s="672"/>
      <c r="H3036" s="676"/>
      <c r="Q3036" s="711"/>
      <c r="S3036" s="670"/>
    </row>
    <row r="3037" spans="1:20">
      <c r="A3037" s="679">
        <v>1113300</v>
      </c>
      <c r="B3037" s="672"/>
      <c r="C3037" s="672"/>
      <c r="D3037" s="672" t="s">
        <v>759</v>
      </c>
      <c r="E3037" s="676" t="s">
        <v>3953</v>
      </c>
      <c r="F3037" s="680" t="s">
        <v>3987</v>
      </c>
      <c r="G3037" s="710">
        <v>111</v>
      </c>
      <c r="H3037" s="682">
        <v>3300</v>
      </c>
      <c r="J3037" s="668" t="str">
        <f t="shared" ref="J3037:J3039" si="528">E3037</f>
        <v>Administrator</v>
      </c>
      <c r="L3037" s="668">
        <v>81</v>
      </c>
      <c r="M3037" s="669">
        <v>76</v>
      </c>
      <c r="N3037" s="668"/>
      <c r="O3037" s="668">
        <v>23</v>
      </c>
      <c r="P3037" s="668" t="str">
        <f>IFERROR(VLOOKUP(F3037, [2]MOE!B:C, 2, FALSE), "No")</f>
        <v>No</v>
      </c>
      <c r="Q3037" s="711"/>
      <c r="S3037" s="670" t="s">
        <v>3988</v>
      </c>
      <c r="T3037" s="668" t="s">
        <v>3953</v>
      </c>
    </row>
    <row r="3038" spans="1:20">
      <c r="A3038" s="679">
        <v>1143300</v>
      </c>
      <c r="B3038" s="672"/>
      <c r="C3038" s="672"/>
      <c r="D3038" s="672" t="s">
        <v>777</v>
      </c>
      <c r="E3038" s="676" t="s">
        <v>1854</v>
      </c>
      <c r="F3038" s="680" t="s">
        <v>3989</v>
      </c>
      <c r="G3038" s="710">
        <v>114</v>
      </c>
      <c r="H3038" s="682">
        <v>3300</v>
      </c>
      <c r="J3038" s="668" t="str">
        <f t="shared" si="528"/>
        <v>Clerical/Secretarial</v>
      </c>
      <c r="L3038" s="668">
        <v>84</v>
      </c>
      <c r="M3038" s="669">
        <v>79</v>
      </c>
      <c r="N3038" s="668"/>
      <c r="O3038" s="668">
        <v>23</v>
      </c>
      <c r="P3038" s="668" t="str">
        <f>IFERROR(VLOOKUP(F3038, [2]MOE!B:C, 2, FALSE), "No")</f>
        <v>No</v>
      </c>
      <c r="Q3038" s="711"/>
      <c r="S3038" s="670" t="s">
        <v>3988</v>
      </c>
      <c r="T3038" s="668" t="s">
        <v>1854</v>
      </c>
    </row>
    <row r="3039" spans="1:20">
      <c r="A3039" s="679">
        <v>1003300</v>
      </c>
      <c r="B3039" s="672"/>
      <c r="C3039" s="672"/>
      <c r="D3039" s="672" t="s">
        <v>801</v>
      </c>
      <c r="E3039" s="676" t="s">
        <v>3956</v>
      </c>
      <c r="F3039" s="680" t="s">
        <v>3990</v>
      </c>
      <c r="G3039" s="710">
        <v>100</v>
      </c>
      <c r="H3039" s="682">
        <v>3300</v>
      </c>
      <c r="J3039" s="668" t="str">
        <f t="shared" si="528"/>
        <v>Other Salaries - Enterprise Operations</v>
      </c>
      <c r="L3039" s="668">
        <v>86</v>
      </c>
      <c r="M3039" s="669">
        <v>81</v>
      </c>
      <c r="N3039" s="668"/>
      <c r="O3039" s="668">
        <v>23</v>
      </c>
      <c r="P3039" s="668" t="str">
        <f>IFERROR(VLOOKUP(F3039, [2]MOE!B:C, 2, FALSE), "No")</f>
        <v>No</v>
      </c>
      <c r="Q3039" s="711"/>
      <c r="S3039" s="670" t="s">
        <v>3988</v>
      </c>
      <c r="T3039" s="668" t="s">
        <v>3956</v>
      </c>
    </row>
    <row r="3040" spans="1:20">
      <c r="A3040" s="679">
        <v>3003300</v>
      </c>
      <c r="B3040" s="677"/>
      <c r="C3040" s="678">
        <v>107</v>
      </c>
      <c r="D3040" s="927" t="s">
        <v>1113</v>
      </c>
      <c r="E3040" s="926"/>
      <c r="F3040" s="680" t="s">
        <v>3991</v>
      </c>
      <c r="G3040" s="710">
        <v>300</v>
      </c>
      <c r="H3040" s="682">
        <v>3300</v>
      </c>
      <c r="J3040" s="668" t="str">
        <f>D3040</f>
        <v>Purchased Professional and Technical Svcs</v>
      </c>
      <c r="L3040" s="668">
        <v>101</v>
      </c>
      <c r="M3040" s="669">
        <v>96</v>
      </c>
      <c r="N3040" s="668"/>
      <c r="O3040" s="668">
        <v>23</v>
      </c>
      <c r="P3040" s="668" t="str">
        <f>IFERROR(VLOOKUP(F3040, [2]MOE!B:C, 2, FALSE), "No")</f>
        <v>No</v>
      </c>
      <c r="Q3040" s="711"/>
      <c r="S3040" s="670" t="s">
        <v>3988</v>
      </c>
      <c r="T3040" s="668" t="s">
        <v>1113</v>
      </c>
    </row>
    <row r="3041" spans="1:20">
      <c r="A3041" s="671"/>
      <c r="B3041" s="677"/>
      <c r="C3041" s="678">
        <v>108</v>
      </c>
      <c r="D3041" s="927" t="s">
        <v>250</v>
      </c>
      <c r="E3041" s="926"/>
      <c r="F3041" s="675"/>
      <c r="G3041" s="672"/>
      <c r="H3041" s="676"/>
      <c r="Q3041" s="711"/>
      <c r="S3041" s="670"/>
    </row>
    <row r="3042" spans="1:20">
      <c r="A3042" s="679">
        <v>4303300</v>
      </c>
      <c r="B3042" s="672"/>
      <c r="C3042" s="672"/>
      <c r="D3042" s="672" t="s">
        <v>759</v>
      </c>
      <c r="E3042" s="676" t="s">
        <v>1023</v>
      </c>
      <c r="F3042" s="680" t="s">
        <v>3992</v>
      </c>
      <c r="G3042" s="710">
        <v>430</v>
      </c>
      <c r="H3042" s="682">
        <v>3300</v>
      </c>
      <c r="J3042" s="668" t="str">
        <f t="shared" ref="J3042:J3043" si="529">E3042</f>
        <v>Repairs and Maintenance Services</v>
      </c>
      <c r="L3042" s="668">
        <v>107</v>
      </c>
      <c r="M3042" s="669">
        <v>102</v>
      </c>
      <c r="N3042" s="668"/>
      <c r="O3042" s="668">
        <v>23</v>
      </c>
      <c r="P3042" s="668" t="str">
        <f>IFERROR(VLOOKUP(F3042, [2]MOE!B:C, 2, FALSE), "No")</f>
        <v>No</v>
      </c>
      <c r="Q3042" s="711"/>
      <c r="S3042" s="670" t="s">
        <v>3988</v>
      </c>
      <c r="T3042" s="668" t="s">
        <v>1023</v>
      </c>
    </row>
    <row r="3043" spans="1:20">
      <c r="A3043" s="679">
        <v>4003300</v>
      </c>
      <c r="B3043" s="677"/>
      <c r="C3043" s="672"/>
      <c r="D3043" s="672" t="s">
        <v>777</v>
      </c>
      <c r="E3043" s="676" t="s">
        <v>1027</v>
      </c>
      <c r="F3043" s="680" t="s">
        <v>3993</v>
      </c>
      <c r="G3043" s="710">
        <v>400</v>
      </c>
      <c r="H3043" s="682">
        <v>3300</v>
      </c>
      <c r="J3043" s="668" t="str">
        <f t="shared" si="529"/>
        <v>Other Purchased Property Services</v>
      </c>
      <c r="L3043" s="668">
        <v>108</v>
      </c>
      <c r="M3043" s="669">
        <v>103</v>
      </c>
      <c r="N3043" s="668"/>
      <c r="O3043" s="668">
        <v>23</v>
      </c>
      <c r="P3043" s="668" t="str">
        <f>IFERROR(VLOOKUP(F3043, [2]MOE!B:C, 2, FALSE), "No")</f>
        <v>No</v>
      </c>
      <c r="Q3043" s="711"/>
      <c r="S3043" s="670" t="s">
        <v>3988</v>
      </c>
      <c r="T3043" s="668" t="s">
        <v>1027</v>
      </c>
    </row>
    <row r="3044" spans="1:20">
      <c r="A3044" s="671"/>
      <c r="B3044" s="677"/>
      <c r="C3044" s="678">
        <v>109</v>
      </c>
      <c r="D3044" s="927" t="s">
        <v>252</v>
      </c>
      <c r="E3044" s="926"/>
      <c r="F3044" s="675"/>
      <c r="G3044" s="672"/>
      <c r="H3044" s="676"/>
      <c r="Q3044" s="711"/>
      <c r="S3044" s="670"/>
    </row>
    <row r="3045" spans="1:20">
      <c r="A3045" s="679">
        <v>5823300</v>
      </c>
      <c r="B3045" s="677"/>
      <c r="C3045" s="672"/>
      <c r="D3045" s="672" t="s">
        <v>759</v>
      </c>
      <c r="E3045" s="676" t="s">
        <v>1039</v>
      </c>
      <c r="F3045" s="680" t="s">
        <v>3994</v>
      </c>
      <c r="G3045" s="710">
        <v>582</v>
      </c>
      <c r="H3045" s="682">
        <v>3300</v>
      </c>
      <c r="J3045" s="668" t="str">
        <f t="shared" ref="J3045:J3046" si="530">E3045</f>
        <v>Travel Expense Reimbursement</v>
      </c>
      <c r="L3045" s="668">
        <v>118</v>
      </c>
      <c r="M3045" s="669">
        <v>109</v>
      </c>
      <c r="N3045" s="668"/>
      <c r="O3045" s="668">
        <v>23</v>
      </c>
      <c r="P3045" s="668" t="str">
        <f>IFERROR(VLOOKUP(F3045, [2]MOE!B:C, 2, FALSE), "No")</f>
        <v>No</v>
      </c>
      <c r="Q3045" s="711"/>
      <c r="S3045" s="670" t="s">
        <v>3988</v>
      </c>
      <c r="T3045" s="668" t="s">
        <v>1039</v>
      </c>
    </row>
    <row r="3046" spans="1:20">
      <c r="A3046" s="679">
        <v>5003300</v>
      </c>
      <c r="B3046" s="677"/>
      <c r="C3046" s="672"/>
      <c r="D3046" s="672" t="s">
        <v>777</v>
      </c>
      <c r="E3046" s="676" t="s">
        <v>252</v>
      </c>
      <c r="F3046" s="680" t="s">
        <v>3995</v>
      </c>
      <c r="G3046" s="710">
        <v>500</v>
      </c>
      <c r="H3046" s="682">
        <v>3300</v>
      </c>
      <c r="J3046" s="668" t="str">
        <f t="shared" si="530"/>
        <v>Other Purchased Services</v>
      </c>
      <c r="L3046" s="668">
        <v>119</v>
      </c>
      <c r="M3046" s="669">
        <v>110</v>
      </c>
      <c r="N3046" s="668"/>
      <c r="O3046" s="668">
        <v>23</v>
      </c>
      <c r="P3046" s="668" t="str">
        <f>IFERROR(VLOOKUP(F3046, [2]MOE!B:C, 2, FALSE), "No")</f>
        <v>No</v>
      </c>
      <c r="Q3046" s="711"/>
      <c r="S3046" s="670" t="s">
        <v>3988</v>
      </c>
      <c r="T3046" s="668" t="s">
        <v>252</v>
      </c>
    </row>
    <row r="3047" spans="1:20">
      <c r="A3047" s="671"/>
      <c r="B3047" s="677"/>
      <c r="C3047" s="678">
        <v>110</v>
      </c>
      <c r="D3047" s="927" t="s">
        <v>254</v>
      </c>
      <c r="E3047" s="926"/>
      <c r="F3047" s="675"/>
      <c r="G3047" s="672"/>
      <c r="H3047" s="676"/>
      <c r="Q3047" s="711"/>
      <c r="S3047" s="670"/>
    </row>
    <row r="3048" spans="1:20">
      <c r="A3048" s="679">
        <v>6153300</v>
      </c>
      <c r="B3048" s="677"/>
      <c r="C3048" s="672"/>
      <c r="D3048" s="672" t="s">
        <v>759</v>
      </c>
      <c r="E3048" s="676" t="s">
        <v>1043</v>
      </c>
      <c r="F3048" s="680" t="s">
        <v>3996</v>
      </c>
      <c r="G3048" s="710">
        <v>615</v>
      </c>
      <c r="H3048" s="682">
        <v>3300</v>
      </c>
      <c r="J3048" s="668" t="str">
        <f t="shared" ref="J3048:J3050" si="531">E3048</f>
        <v>Technology-Related Supplies</v>
      </c>
      <c r="L3048" s="668">
        <v>126</v>
      </c>
      <c r="M3048" s="669">
        <v>117</v>
      </c>
      <c r="N3048" s="668"/>
      <c r="O3048" s="668">
        <v>23</v>
      </c>
      <c r="P3048" s="668" t="str">
        <f>IFERROR(VLOOKUP(F3048, [2]MOE!B:C, 2, FALSE), "No")</f>
        <v>No</v>
      </c>
      <c r="Q3048" s="711" t="s">
        <v>1045</v>
      </c>
      <c r="S3048" s="670" t="s">
        <v>3988</v>
      </c>
      <c r="T3048" s="668" t="s">
        <v>1043</v>
      </c>
    </row>
    <row r="3049" spans="1:20">
      <c r="A3049" s="679">
        <v>6103300</v>
      </c>
      <c r="B3049" s="677"/>
      <c r="C3049" s="672"/>
      <c r="D3049" s="672" t="s">
        <v>777</v>
      </c>
      <c r="E3049" s="676" t="s">
        <v>39</v>
      </c>
      <c r="F3049" s="680" t="s">
        <v>3997</v>
      </c>
      <c r="G3049" s="710">
        <v>610</v>
      </c>
      <c r="H3049" s="682">
        <v>3300</v>
      </c>
      <c r="J3049" s="668" t="str">
        <f t="shared" si="531"/>
        <v>Materials and Supplies</v>
      </c>
      <c r="L3049" s="668">
        <v>122</v>
      </c>
      <c r="M3049" s="669">
        <v>113</v>
      </c>
      <c r="N3049" s="668"/>
      <c r="O3049" s="668">
        <v>23</v>
      </c>
      <c r="P3049" s="668" t="str">
        <f>IFERROR(VLOOKUP(F3049, [2]MOE!B:C, 2, FALSE), "No")</f>
        <v>No</v>
      </c>
      <c r="Q3049" s="711" t="s">
        <v>1045</v>
      </c>
      <c r="S3049" s="670" t="s">
        <v>3988</v>
      </c>
      <c r="T3049" s="668" t="s">
        <v>39</v>
      </c>
    </row>
    <row r="3050" spans="1:20">
      <c r="A3050" s="679">
        <v>6003300</v>
      </c>
      <c r="B3050" s="677"/>
      <c r="C3050" s="672"/>
      <c r="D3050" s="672" t="s">
        <v>801</v>
      </c>
      <c r="E3050" s="676" t="s">
        <v>1050</v>
      </c>
      <c r="F3050" s="680" t="s">
        <v>3998</v>
      </c>
      <c r="G3050" s="710">
        <v>600</v>
      </c>
      <c r="H3050" s="682">
        <v>3300</v>
      </c>
      <c r="J3050" s="668" t="str">
        <f t="shared" si="531"/>
        <v>Other Supplies</v>
      </c>
      <c r="L3050" s="668">
        <v>126</v>
      </c>
      <c r="M3050" s="669">
        <v>117</v>
      </c>
      <c r="N3050" s="668"/>
      <c r="O3050" s="668">
        <v>23</v>
      </c>
      <c r="P3050" s="668" t="str">
        <f>IFERROR(VLOOKUP(F3050, [2]MOE!B:C, 2, FALSE), "No")</f>
        <v>No</v>
      </c>
      <c r="Q3050" s="711"/>
      <c r="S3050" s="670" t="s">
        <v>3988</v>
      </c>
      <c r="T3050" s="668" t="s">
        <v>1050</v>
      </c>
    </row>
    <row r="3051" spans="1:20">
      <c r="A3051" s="671"/>
      <c r="B3051" s="677"/>
      <c r="C3051" s="678">
        <v>111</v>
      </c>
      <c r="D3051" s="672"/>
      <c r="E3051" s="676" t="s">
        <v>3999</v>
      </c>
      <c r="F3051" s="675"/>
      <c r="G3051" s="672"/>
      <c r="H3051" s="676"/>
      <c r="Q3051" s="711"/>
      <c r="S3051" s="670"/>
    </row>
    <row r="3052" spans="1:20">
      <c r="A3052" s="679">
        <v>7343300</v>
      </c>
      <c r="B3052" s="677"/>
      <c r="C3052" s="672"/>
      <c r="D3052" s="672" t="s">
        <v>759</v>
      </c>
      <c r="E3052" s="676" t="s">
        <v>1053</v>
      </c>
      <c r="F3052" s="680" t="s">
        <v>4000</v>
      </c>
      <c r="G3052" s="710">
        <v>734</v>
      </c>
      <c r="H3052" s="682">
        <v>3300</v>
      </c>
      <c r="J3052" s="668" t="str">
        <f t="shared" ref="J3052:J3055" si="532">E3052</f>
        <v>Technology-Related Hardware</v>
      </c>
      <c r="L3052" s="668">
        <v>131</v>
      </c>
      <c r="M3052" s="669">
        <v>122</v>
      </c>
      <c r="N3052" s="668"/>
      <c r="O3052" s="668">
        <v>23</v>
      </c>
      <c r="P3052" s="668" t="str">
        <f>IFERROR(VLOOKUP(F3052, [2]MOE!B:C, 2, FALSE), "No")</f>
        <v>No</v>
      </c>
      <c r="Q3052" s="711"/>
      <c r="S3052" s="670" t="s">
        <v>3988</v>
      </c>
      <c r="T3052" s="668" t="s">
        <v>1053</v>
      </c>
    </row>
    <row r="3053" spans="1:20">
      <c r="A3053" s="679">
        <v>7353300</v>
      </c>
      <c r="B3053" s="677"/>
      <c r="C3053" s="672"/>
      <c r="D3053" s="672" t="s">
        <v>777</v>
      </c>
      <c r="E3053" s="676" t="s">
        <v>1055</v>
      </c>
      <c r="F3053" s="680" t="s">
        <v>4001</v>
      </c>
      <c r="G3053" s="710">
        <v>735</v>
      </c>
      <c r="H3053" s="682">
        <v>3300</v>
      </c>
      <c r="J3053" s="668" t="str">
        <f t="shared" si="532"/>
        <v>Technology Software</v>
      </c>
      <c r="L3053" s="668">
        <v>131</v>
      </c>
      <c r="M3053" s="669">
        <v>122</v>
      </c>
      <c r="N3053" s="668"/>
      <c r="O3053" s="668">
        <v>23</v>
      </c>
      <c r="P3053" s="668" t="str">
        <f>IFERROR(VLOOKUP(F3053, [2]MOE!B:C, 2, FALSE), "No")</f>
        <v>No</v>
      </c>
      <c r="Q3053" s="711"/>
      <c r="S3053" s="670" t="s">
        <v>3988</v>
      </c>
      <c r="T3053" s="668" t="s">
        <v>1055</v>
      </c>
    </row>
    <row r="3054" spans="1:20">
      <c r="A3054" s="679">
        <v>7303300</v>
      </c>
      <c r="B3054" s="677"/>
      <c r="C3054" s="672"/>
      <c r="D3054" s="672" t="s">
        <v>801</v>
      </c>
      <c r="E3054" s="676" t="s">
        <v>1057</v>
      </c>
      <c r="F3054" s="680" t="s">
        <v>4002</v>
      </c>
      <c r="G3054" s="710">
        <v>730</v>
      </c>
      <c r="H3054" s="682">
        <v>3300</v>
      </c>
      <c r="J3054" s="668" t="str">
        <f t="shared" si="532"/>
        <v>All Other Equipment</v>
      </c>
      <c r="L3054" s="668">
        <v>131</v>
      </c>
      <c r="M3054" s="669">
        <v>122</v>
      </c>
      <c r="N3054" s="668"/>
      <c r="O3054" s="668">
        <v>23</v>
      </c>
      <c r="P3054" s="668" t="str">
        <f>IFERROR(VLOOKUP(F3054, [2]MOE!B:C, 2, FALSE), "No")</f>
        <v>No</v>
      </c>
      <c r="Q3054" s="711"/>
      <c r="S3054" s="670" t="s">
        <v>3988</v>
      </c>
      <c r="T3054" s="668" t="s">
        <v>1057</v>
      </c>
    </row>
    <row r="3055" spans="1:20">
      <c r="A3055" s="679">
        <v>7003300</v>
      </c>
      <c r="B3055" s="677"/>
      <c r="C3055" s="672"/>
      <c r="D3055" s="672" t="s">
        <v>805</v>
      </c>
      <c r="E3055" s="676" t="s">
        <v>1059</v>
      </c>
      <c r="F3055" s="680" t="s">
        <v>4003</v>
      </c>
      <c r="G3055" s="710">
        <v>700</v>
      </c>
      <c r="H3055" s="682">
        <v>3300</v>
      </c>
      <c r="J3055" s="668" t="str">
        <f t="shared" si="532"/>
        <v>Other Property</v>
      </c>
      <c r="L3055" s="668">
        <v>132</v>
      </c>
      <c r="M3055" s="669">
        <v>123</v>
      </c>
      <c r="N3055" s="668"/>
      <c r="O3055" s="668">
        <v>23</v>
      </c>
      <c r="P3055" s="668" t="str">
        <f>IFERROR(VLOOKUP(F3055, [2]MOE!B:C, 2, FALSE), "No")</f>
        <v>No</v>
      </c>
      <c r="Q3055" s="711"/>
      <c r="S3055" s="670" t="s">
        <v>3988</v>
      </c>
      <c r="T3055" s="668" t="s">
        <v>1059</v>
      </c>
    </row>
    <row r="3056" spans="1:20">
      <c r="A3056" s="671"/>
      <c r="B3056" s="677"/>
      <c r="C3056" s="678">
        <v>112</v>
      </c>
      <c r="D3056" s="927" t="s">
        <v>256</v>
      </c>
      <c r="E3056" s="926"/>
      <c r="F3056" s="675"/>
      <c r="G3056" s="672"/>
      <c r="H3056" s="676"/>
      <c r="Q3056" s="711"/>
      <c r="S3056" s="670"/>
    </row>
    <row r="3057" spans="1:20">
      <c r="A3057" s="679">
        <v>8953300</v>
      </c>
      <c r="B3057" s="677"/>
      <c r="C3057" s="672"/>
      <c r="D3057" s="672" t="s">
        <v>759</v>
      </c>
      <c r="E3057" s="676" t="s">
        <v>1061</v>
      </c>
      <c r="F3057" s="680" t="s">
        <v>4004</v>
      </c>
      <c r="G3057" s="710">
        <v>895</v>
      </c>
      <c r="H3057" s="682">
        <v>3300</v>
      </c>
      <c r="J3057" s="668" t="str">
        <f t="shared" ref="J3057:J3058" si="533">E3057</f>
        <v>Miscellaneous Non-Public Expenditures</v>
      </c>
      <c r="L3057" s="668">
        <v>139</v>
      </c>
      <c r="M3057" s="669">
        <v>129</v>
      </c>
      <c r="N3057" s="668"/>
      <c r="O3057" s="668">
        <v>23</v>
      </c>
      <c r="P3057" s="668" t="str">
        <f>IFERROR(VLOOKUP(F3057, [2]MOE!B:C, 2, FALSE), "No")</f>
        <v>No</v>
      </c>
      <c r="Q3057" s="711"/>
      <c r="S3057" s="670" t="s">
        <v>3988</v>
      </c>
      <c r="T3057" s="668" t="s">
        <v>1061</v>
      </c>
    </row>
    <row r="3058" spans="1:20">
      <c r="A3058" s="679">
        <v>8003300</v>
      </c>
      <c r="B3058" s="677"/>
      <c r="C3058" s="672"/>
      <c r="D3058" s="672" t="s">
        <v>777</v>
      </c>
      <c r="E3058" s="676" t="s">
        <v>1063</v>
      </c>
      <c r="F3058" s="680" t="s">
        <v>4005</v>
      </c>
      <c r="G3058" s="710">
        <v>800</v>
      </c>
      <c r="H3058" s="682">
        <v>3300</v>
      </c>
      <c r="J3058" s="668" t="str">
        <f t="shared" si="533"/>
        <v>Other Miscellaneous Expenditures</v>
      </c>
      <c r="L3058" s="668">
        <v>139</v>
      </c>
      <c r="M3058" s="669">
        <v>129</v>
      </c>
      <c r="N3058" s="668"/>
      <c r="O3058" s="668">
        <v>23</v>
      </c>
      <c r="P3058" s="668" t="str">
        <f>IFERROR(VLOOKUP(F3058, [2]MOE!B:C, 2, FALSE), "No")</f>
        <v>No</v>
      </c>
      <c r="Q3058" s="711"/>
      <c r="S3058" s="670" t="s">
        <v>3988</v>
      </c>
      <c r="T3058" s="668" t="s">
        <v>1063</v>
      </c>
    </row>
    <row r="3059" spans="1:20">
      <c r="A3059" s="671"/>
      <c r="B3059" s="672"/>
      <c r="C3059" s="678">
        <v>113</v>
      </c>
      <c r="D3059" s="927" t="s">
        <v>4006</v>
      </c>
      <c r="E3059" s="926"/>
      <c r="F3059" s="675"/>
      <c r="G3059" s="672"/>
      <c r="H3059" s="676"/>
      <c r="Q3059" s="711"/>
      <c r="S3059" s="670"/>
    </row>
    <row r="3060" spans="1:20">
      <c r="A3060" s="679">
        <v>2103300</v>
      </c>
      <c r="B3060" s="672"/>
      <c r="C3060" s="672"/>
      <c r="D3060" s="672" t="s">
        <v>759</v>
      </c>
      <c r="E3060" s="676" t="s">
        <v>1066</v>
      </c>
      <c r="F3060" s="680" t="s">
        <v>4007</v>
      </c>
      <c r="G3060" s="710">
        <v>210</v>
      </c>
      <c r="H3060" s="682">
        <v>3300</v>
      </c>
      <c r="J3060" s="668" t="str">
        <f t="shared" ref="J3060:J3062" si="534">E3060</f>
        <v>Group Insurance</v>
      </c>
      <c r="L3060" s="668">
        <v>89</v>
      </c>
      <c r="M3060" s="669">
        <v>84</v>
      </c>
      <c r="N3060" s="668"/>
      <c r="O3060" s="668">
        <v>23</v>
      </c>
      <c r="P3060" s="668" t="str">
        <f>IFERROR(VLOOKUP(F3060, [2]MOE!B:C, 2, FALSE), "No")</f>
        <v>No</v>
      </c>
      <c r="Q3060" s="711"/>
      <c r="S3060" s="670" t="s">
        <v>3988</v>
      </c>
      <c r="T3060" s="668" t="s">
        <v>1066</v>
      </c>
    </row>
    <row r="3061" spans="1:20">
      <c r="A3061" s="679">
        <v>2203300</v>
      </c>
      <c r="B3061" s="672"/>
      <c r="C3061" s="672"/>
      <c r="D3061" s="672" t="s">
        <v>777</v>
      </c>
      <c r="E3061" s="676" t="s">
        <v>1068</v>
      </c>
      <c r="F3061" s="680" t="s">
        <v>4008</v>
      </c>
      <c r="G3061" s="710">
        <v>220</v>
      </c>
      <c r="H3061" s="682">
        <v>3300</v>
      </c>
      <c r="J3061" s="668" t="str">
        <f t="shared" si="534"/>
        <v>FICA</v>
      </c>
      <c r="L3061" s="668">
        <v>90</v>
      </c>
      <c r="M3061" s="669">
        <v>85</v>
      </c>
      <c r="N3061" s="668"/>
      <c r="O3061" s="668">
        <v>23</v>
      </c>
      <c r="P3061" s="668" t="str">
        <f>IFERROR(VLOOKUP(F3061, [2]MOE!B:C, 2, FALSE), "No")</f>
        <v>No</v>
      </c>
      <c r="Q3061" s="711"/>
      <c r="S3061" s="670" t="s">
        <v>3988</v>
      </c>
      <c r="T3061" s="668" t="s">
        <v>1068</v>
      </c>
    </row>
    <row r="3062" spans="1:20">
      <c r="A3062" s="679">
        <v>2253300</v>
      </c>
      <c r="B3062" s="672"/>
      <c r="C3062" s="672"/>
      <c r="D3062" s="672" t="s">
        <v>801</v>
      </c>
      <c r="E3062" s="676" t="s">
        <v>23</v>
      </c>
      <c r="F3062" s="680" t="s">
        <v>4009</v>
      </c>
      <c r="G3062" s="710">
        <v>225</v>
      </c>
      <c r="H3062" s="682">
        <v>3300</v>
      </c>
      <c r="J3062" s="668" t="str">
        <f t="shared" si="534"/>
        <v>Medicare</v>
      </c>
      <c r="L3062" s="668">
        <v>91</v>
      </c>
      <c r="M3062" s="669">
        <v>86</v>
      </c>
      <c r="N3062" s="668"/>
      <c r="O3062" s="668">
        <v>23</v>
      </c>
      <c r="P3062" s="668" t="str">
        <f>IFERROR(VLOOKUP(F3062, [2]MOE!B:C, 2, FALSE), "No")</f>
        <v>No</v>
      </c>
      <c r="Q3062" s="711"/>
      <c r="S3062" s="670" t="s">
        <v>3988</v>
      </c>
      <c r="T3062" s="668" t="s">
        <v>23</v>
      </c>
    </row>
    <row r="3063" spans="1:20">
      <c r="A3063" s="671"/>
      <c r="B3063" s="672"/>
      <c r="C3063" s="672"/>
      <c r="D3063" s="672" t="s">
        <v>805</v>
      </c>
      <c r="E3063" s="676" t="s">
        <v>1071</v>
      </c>
      <c r="F3063" s="675"/>
      <c r="G3063" s="672"/>
      <c r="H3063" s="676"/>
      <c r="Q3063" s="711"/>
      <c r="S3063" s="670"/>
    </row>
    <row r="3064" spans="1:20">
      <c r="A3064" s="679">
        <v>2313300</v>
      </c>
      <c r="B3064" s="672"/>
      <c r="C3064" s="672"/>
      <c r="D3064" s="672"/>
      <c r="E3064" s="676" t="s">
        <v>1072</v>
      </c>
      <c r="F3064" s="680" t="s">
        <v>4010</v>
      </c>
      <c r="G3064" s="710">
        <v>231</v>
      </c>
      <c r="H3064" s="682">
        <v>3300</v>
      </c>
      <c r="J3064" s="668" t="str">
        <f t="shared" ref="J3064:J3072" si="535">E3064</f>
        <v>(1) Louisiana Teachers Retirement</v>
      </c>
      <c r="L3064" s="668">
        <v>92</v>
      </c>
      <c r="M3064" s="669">
        <v>87</v>
      </c>
      <c r="N3064" s="668"/>
      <c r="O3064" s="668">
        <v>23</v>
      </c>
      <c r="P3064" s="668" t="str">
        <f>IFERROR(VLOOKUP(F3064, [2]MOE!B:C, 2, FALSE), "No")</f>
        <v>No</v>
      </c>
      <c r="Q3064" s="711"/>
      <c r="S3064" s="670" t="s">
        <v>3988</v>
      </c>
      <c r="T3064" s="668" t="s">
        <v>1074</v>
      </c>
    </row>
    <row r="3065" spans="1:20">
      <c r="A3065" s="679">
        <v>2333300</v>
      </c>
      <c r="B3065" s="672"/>
      <c r="C3065" s="672"/>
      <c r="D3065" s="672"/>
      <c r="E3065" s="676" t="s">
        <v>1075</v>
      </c>
      <c r="F3065" s="680" t="s">
        <v>4011</v>
      </c>
      <c r="G3065" s="710">
        <v>233</v>
      </c>
      <c r="H3065" s="682">
        <v>3300</v>
      </c>
      <c r="J3065" s="668" t="str">
        <f t="shared" si="535"/>
        <v>(2) Louisiana School Employees Retirement</v>
      </c>
      <c r="L3065" s="668">
        <v>92</v>
      </c>
      <c r="M3065" s="669">
        <v>87</v>
      </c>
      <c r="N3065" s="668"/>
      <c r="O3065" s="668">
        <v>23</v>
      </c>
      <c r="P3065" s="668" t="str">
        <f>IFERROR(VLOOKUP(F3065, [2]MOE!B:C, 2, FALSE), "No")</f>
        <v>No</v>
      </c>
      <c r="Q3065" s="711"/>
      <c r="S3065" s="670" t="s">
        <v>3988</v>
      </c>
      <c r="T3065" s="668" t="s">
        <v>1077</v>
      </c>
    </row>
    <row r="3066" spans="1:20">
      <c r="A3066" s="679">
        <v>2393300</v>
      </c>
      <c r="B3066" s="672"/>
      <c r="C3066" s="672"/>
      <c r="D3066" s="672"/>
      <c r="E3066" s="676" t="s">
        <v>1080</v>
      </c>
      <c r="F3066" s="680" t="s">
        <v>4012</v>
      </c>
      <c r="G3066" s="710">
        <v>239</v>
      </c>
      <c r="H3066" s="682">
        <v>3300</v>
      </c>
      <c r="J3066" s="668" t="str">
        <f t="shared" si="535"/>
        <v>Other Retirement</v>
      </c>
      <c r="L3066" s="668">
        <v>92</v>
      </c>
      <c r="M3066" s="669">
        <v>87</v>
      </c>
      <c r="N3066" s="668"/>
      <c r="O3066" s="668">
        <v>23</v>
      </c>
      <c r="P3066" s="668" t="str">
        <f>IFERROR(VLOOKUP(F3066, [2]MOE!B:C, 2, FALSE), "No")</f>
        <v>No</v>
      </c>
      <c r="Q3066" s="711"/>
      <c r="S3066" s="670" t="s">
        <v>3988</v>
      </c>
      <c r="T3066" s="668" t="s">
        <v>1080</v>
      </c>
    </row>
    <row r="3067" spans="1:20">
      <c r="A3067" s="679">
        <v>2503300</v>
      </c>
      <c r="B3067" s="672"/>
      <c r="C3067" s="672"/>
      <c r="D3067" s="672" t="s">
        <v>850</v>
      </c>
      <c r="E3067" s="676" t="s">
        <v>1081</v>
      </c>
      <c r="F3067" s="680" t="s">
        <v>4013</v>
      </c>
      <c r="G3067" s="710">
        <v>250</v>
      </c>
      <c r="H3067" s="682">
        <v>3300</v>
      </c>
      <c r="J3067" s="668" t="str">
        <f t="shared" si="535"/>
        <v>Unemployment Compensation</v>
      </c>
      <c r="L3067" s="668">
        <v>93</v>
      </c>
      <c r="M3067" s="669">
        <v>88</v>
      </c>
      <c r="N3067" s="668"/>
      <c r="O3067" s="668">
        <v>23</v>
      </c>
      <c r="P3067" s="668" t="str">
        <f>IFERROR(VLOOKUP(F3067, [2]MOE!B:C, 2, FALSE), "No")</f>
        <v>No</v>
      </c>
      <c r="Q3067" s="711"/>
      <c r="S3067" s="670" t="s">
        <v>3988</v>
      </c>
      <c r="T3067" s="668" t="s">
        <v>1081</v>
      </c>
    </row>
    <row r="3068" spans="1:20">
      <c r="A3068" s="679">
        <v>2603300</v>
      </c>
      <c r="B3068" s="672"/>
      <c r="C3068" s="672"/>
      <c r="D3068" s="672" t="s">
        <v>853</v>
      </c>
      <c r="E3068" s="676" t="s">
        <v>1083</v>
      </c>
      <c r="F3068" s="680" t="s">
        <v>4014</v>
      </c>
      <c r="G3068" s="710">
        <v>260</v>
      </c>
      <c r="H3068" s="682">
        <v>3300</v>
      </c>
      <c r="J3068" s="668" t="str">
        <f t="shared" si="535"/>
        <v>Workmen's Compensation</v>
      </c>
      <c r="L3068" s="668">
        <v>95</v>
      </c>
      <c r="M3068" s="669">
        <v>90</v>
      </c>
      <c r="N3068" s="668"/>
      <c r="O3068" s="668">
        <v>23</v>
      </c>
      <c r="P3068" s="668" t="str">
        <f>IFERROR(VLOOKUP(F3068, [2]MOE!B:C, 2, FALSE), "No")</f>
        <v>No</v>
      </c>
      <c r="Q3068" s="711"/>
      <c r="S3068" s="670" t="s">
        <v>3988</v>
      </c>
      <c r="T3068" s="668" t="s">
        <v>1083</v>
      </c>
    </row>
    <row r="3069" spans="1:20">
      <c r="A3069" s="679">
        <v>2703300</v>
      </c>
      <c r="B3069" s="672"/>
      <c r="C3069" s="672"/>
      <c r="D3069" s="672" t="s">
        <v>856</v>
      </c>
      <c r="E3069" s="676" t="s">
        <v>1085</v>
      </c>
      <c r="F3069" s="680" t="s">
        <v>4015</v>
      </c>
      <c r="G3069" s="710">
        <v>270</v>
      </c>
      <c r="H3069" s="682">
        <v>3300</v>
      </c>
      <c r="J3069" s="668" t="str">
        <f t="shared" si="535"/>
        <v>Health Benefits (retirees)</v>
      </c>
      <c r="L3069" s="668">
        <v>94</v>
      </c>
      <c r="M3069" s="669">
        <v>89</v>
      </c>
      <c r="N3069" s="668"/>
      <c r="O3069" s="668">
        <v>23</v>
      </c>
      <c r="P3069" s="668" t="str">
        <f>IFERROR(VLOOKUP(F3069, [2]MOE!B:C, 2, FALSE), "No")</f>
        <v>No</v>
      </c>
      <c r="Q3069" s="711"/>
      <c r="S3069" s="670" t="s">
        <v>3988</v>
      </c>
      <c r="T3069" s="668" t="s">
        <v>1085</v>
      </c>
    </row>
    <row r="3070" spans="1:20">
      <c r="A3070" s="679">
        <v>2813300</v>
      </c>
      <c r="B3070" s="672"/>
      <c r="C3070" s="672"/>
      <c r="D3070" s="672" t="s">
        <v>859</v>
      </c>
      <c r="E3070" s="676" t="s">
        <v>1087</v>
      </c>
      <c r="F3070" s="680" t="s">
        <v>4016</v>
      </c>
      <c r="G3070" s="710">
        <v>281</v>
      </c>
      <c r="H3070" s="682">
        <v>3300</v>
      </c>
      <c r="J3070" s="668" t="str">
        <f t="shared" si="535"/>
        <v>Sick Leave Severance Pay</v>
      </c>
      <c r="L3070" s="668">
        <v>95</v>
      </c>
      <c r="M3070" s="669">
        <v>90</v>
      </c>
      <c r="N3070" s="668"/>
      <c r="O3070" s="668">
        <v>23</v>
      </c>
      <c r="P3070" s="668" t="str">
        <f>IFERROR(VLOOKUP(F3070, [2]MOE!B:C, 2, FALSE), "No")</f>
        <v>No</v>
      </c>
      <c r="Q3070" s="711"/>
      <c r="S3070" s="670" t="s">
        <v>3988</v>
      </c>
      <c r="T3070" s="668" t="s">
        <v>1087</v>
      </c>
    </row>
    <row r="3071" spans="1:20">
      <c r="A3071" s="679">
        <v>2823300</v>
      </c>
      <c r="B3071" s="672"/>
      <c r="C3071" s="672"/>
      <c r="D3071" s="672" t="s">
        <v>862</v>
      </c>
      <c r="E3071" s="676" t="s">
        <v>1089</v>
      </c>
      <c r="F3071" s="680" t="s">
        <v>4017</v>
      </c>
      <c r="G3071" s="710">
        <v>282</v>
      </c>
      <c r="H3071" s="682">
        <v>3300</v>
      </c>
      <c r="J3071" s="668" t="str">
        <f t="shared" si="535"/>
        <v>Annual Leave Severance Pay</v>
      </c>
      <c r="L3071" s="668">
        <v>95</v>
      </c>
      <c r="M3071" s="669">
        <v>90</v>
      </c>
      <c r="N3071" s="668"/>
      <c r="O3071" s="668">
        <v>23</v>
      </c>
      <c r="P3071" s="668" t="str">
        <f>IFERROR(VLOOKUP(F3071, [2]MOE!B:C, 2, FALSE), "No")</f>
        <v>No</v>
      </c>
      <c r="Q3071" s="711"/>
      <c r="S3071" s="670" t="s">
        <v>3988</v>
      </c>
      <c r="T3071" s="668" t="s">
        <v>1089</v>
      </c>
    </row>
    <row r="3072" spans="1:20" ht="16" thickBot="1">
      <c r="A3072" s="679">
        <v>2903300</v>
      </c>
      <c r="B3072" s="672"/>
      <c r="C3072" s="672"/>
      <c r="D3072" s="672" t="s">
        <v>1091</v>
      </c>
      <c r="E3072" s="676" t="s">
        <v>1092</v>
      </c>
      <c r="F3072" s="680" t="s">
        <v>4018</v>
      </c>
      <c r="G3072" s="710">
        <v>290</v>
      </c>
      <c r="H3072" s="682">
        <v>3300</v>
      </c>
      <c r="J3072" s="668" t="str">
        <f t="shared" si="535"/>
        <v>Other Employee Benefits</v>
      </c>
      <c r="L3072" s="668">
        <v>95</v>
      </c>
      <c r="M3072" s="669">
        <v>90</v>
      </c>
      <c r="N3072" s="668"/>
      <c r="O3072" s="668">
        <v>23</v>
      </c>
      <c r="P3072" s="668" t="str">
        <f>IFERROR(VLOOKUP(F3072, [2]MOE!B:C, 2, FALSE), "No")</f>
        <v>No</v>
      </c>
      <c r="Q3072" s="711"/>
      <c r="S3072" s="670" t="s">
        <v>3988</v>
      </c>
      <c r="T3072" s="668" t="s">
        <v>1092</v>
      </c>
    </row>
    <row r="3073" spans="1:20" ht="16.5" thickTop="1" thickBot="1">
      <c r="A3073" s="671"/>
      <c r="B3073" s="706"/>
      <c r="C3073" s="929" t="s">
        <v>4019</v>
      </c>
      <c r="D3073" s="930"/>
      <c r="E3073" s="932"/>
      <c r="F3073" s="705" t="s">
        <v>637</v>
      </c>
      <c r="G3073" s="706"/>
      <c r="H3073" s="707"/>
      <c r="Q3073" s="711"/>
      <c r="S3073" s="670"/>
    </row>
    <row r="3074" spans="1:20" ht="16.5" thickTop="1" thickBot="1">
      <c r="A3074" s="671"/>
      <c r="B3074" s="935" t="s">
        <v>4020</v>
      </c>
      <c r="C3074" s="936"/>
      <c r="D3074" s="936"/>
      <c r="E3074" s="934"/>
      <c r="F3074" s="709" t="s">
        <v>718</v>
      </c>
      <c r="G3074" s="663"/>
      <c r="H3074" s="664"/>
      <c r="Q3074" s="711"/>
      <c r="S3074" s="670"/>
    </row>
    <row r="3075" spans="1:20" ht="16" thickTop="1">
      <c r="A3075" s="671"/>
      <c r="B3075" s="672"/>
      <c r="C3075" s="672"/>
      <c r="D3075" s="672"/>
      <c r="E3075" s="676"/>
      <c r="F3075" s="675"/>
      <c r="G3075" s="672"/>
      <c r="H3075" s="676"/>
      <c r="Q3075" s="711"/>
      <c r="S3075" s="670"/>
    </row>
    <row r="3076" spans="1:20">
      <c r="A3076" s="671"/>
      <c r="B3076" s="677" t="s">
        <v>4021</v>
      </c>
      <c r="C3076" s="928" t="s">
        <v>4022</v>
      </c>
      <c r="D3076" s="795"/>
      <c r="E3076" s="926"/>
      <c r="F3076" s="675"/>
      <c r="G3076" s="672"/>
      <c r="H3076" s="676"/>
      <c r="Q3076" s="711"/>
      <c r="S3076" s="670"/>
    </row>
    <row r="3077" spans="1:20">
      <c r="A3077" s="671"/>
      <c r="B3077" s="677"/>
      <c r="C3077" s="677"/>
      <c r="D3077" s="921" t="s">
        <v>4023</v>
      </c>
      <c r="E3077" s="926"/>
      <c r="F3077" s="675"/>
      <c r="G3077" s="672"/>
      <c r="H3077" s="676"/>
      <c r="Q3077" s="711"/>
      <c r="S3077" s="670"/>
    </row>
    <row r="3078" spans="1:20">
      <c r="A3078" s="671"/>
      <c r="B3078" s="672"/>
      <c r="C3078" s="678">
        <v>114</v>
      </c>
      <c r="D3078" s="927" t="s">
        <v>244</v>
      </c>
      <c r="E3078" s="926"/>
      <c r="F3078" s="675"/>
      <c r="G3078" s="672"/>
      <c r="H3078" s="676"/>
      <c r="Q3078" s="711"/>
      <c r="S3078" s="670"/>
    </row>
    <row r="3079" spans="1:20">
      <c r="A3079" s="679">
        <v>1114500</v>
      </c>
      <c r="B3079" s="672"/>
      <c r="C3079" s="672"/>
      <c r="D3079" s="672" t="s">
        <v>759</v>
      </c>
      <c r="E3079" s="676" t="s">
        <v>3953</v>
      </c>
      <c r="F3079" s="680" t="s">
        <v>4024</v>
      </c>
      <c r="G3079" s="710">
        <v>111</v>
      </c>
      <c r="H3079" s="682">
        <v>4500</v>
      </c>
      <c r="J3079" s="668" t="str">
        <f t="shared" ref="J3079:J3084" si="536">E3079</f>
        <v>Administrator</v>
      </c>
      <c r="L3079" s="668">
        <v>81</v>
      </c>
      <c r="M3079" s="669">
        <v>76</v>
      </c>
      <c r="N3079" s="668"/>
      <c r="O3079" s="668">
        <v>24</v>
      </c>
      <c r="P3079" s="668" t="str">
        <f>IFERROR(VLOOKUP(F3079, [2]MOE!B:C, 2, FALSE), "No")</f>
        <v>No</v>
      </c>
      <c r="Q3079" s="711"/>
      <c r="S3079" s="670" t="s">
        <v>4025</v>
      </c>
      <c r="T3079" s="668" t="s">
        <v>3953</v>
      </c>
    </row>
    <row r="3080" spans="1:20">
      <c r="A3080" s="679">
        <v>1144500</v>
      </c>
      <c r="B3080" s="672"/>
      <c r="C3080" s="672"/>
      <c r="D3080" s="672" t="s">
        <v>777</v>
      </c>
      <c r="E3080" s="676" t="s">
        <v>1854</v>
      </c>
      <c r="F3080" s="680" t="s">
        <v>4026</v>
      </c>
      <c r="G3080" s="710">
        <v>114</v>
      </c>
      <c r="H3080" s="682">
        <v>4500</v>
      </c>
      <c r="J3080" s="668" t="str">
        <f t="shared" si="536"/>
        <v>Clerical/Secretarial</v>
      </c>
      <c r="L3080" s="668">
        <v>84</v>
      </c>
      <c r="M3080" s="669">
        <v>79</v>
      </c>
      <c r="N3080" s="668"/>
      <c r="O3080" s="668">
        <v>24</v>
      </c>
      <c r="P3080" s="668" t="str">
        <f>IFERROR(VLOOKUP(F3080, [2]MOE!B:C, 2, FALSE), "No")</f>
        <v>No</v>
      </c>
      <c r="Q3080" s="711"/>
      <c r="S3080" s="670" t="s">
        <v>4025</v>
      </c>
      <c r="T3080" s="668" t="s">
        <v>1854</v>
      </c>
    </row>
    <row r="3081" spans="1:20">
      <c r="A3081" s="679">
        <v>1104500</v>
      </c>
      <c r="B3081" s="672"/>
      <c r="C3081" s="672"/>
      <c r="D3081" s="672" t="s">
        <v>801</v>
      </c>
      <c r="E3081" s="676" t="s">
        <v>3153</v>
      </c>
      <c r="F3081" s="680" t="s">
        <v>4027</v>
      </c>
      <c r="G3081" s="710">
        <v>110</v>
      </c>
      <c r="H3081" s="682">
        <v>4500</v>
      </c>
      <c r="J3081" s="668" t="str">
        <f t="shared" si="536"/>
        <v>Other Regular Salaries</v>
      </c>
      <c r="L3081" s="668">
        <v>86</v>
      </c>
      <c r="M3081" s="669">
        <v>81</v>
      </c>
      <c r="N3081" s="668"/>
      <c r="O3081" s="668">
        <v>24</v>
      </c>
      <c r="P3081" s="668" t="str">
        <f>IFERROR(VLOOKUP(F3081, [2]MOE!B:C, 2, FALSE), "No")</f>
        <v>No</v>
      </c>
      <c r="Q3081" s="711"/>
      <c r="S3081" s="670" t="s">
        <v>4025</v>
      </c>
      <c r="T3081" s="668" t="s">
        <v>3153</v>
      </c>
    </row>
    <row r="3082" spans="1:20">
      <c r="A3082" s="679">
        <v>1104700</v>
      </c>
      <c r="B3082" s="672"/>
      <c r="C3082" s="672"/>
      <c r="D3082" s="672" t="s">
        <v>805</v>
      </c>
      <c r="E3082" s="676" t="s">
        <v>4028</v>
      </c>
      <c r="F3082" s="680" t="s">
        <v>4029</v>
      </c>
      <c r="G3082" s="710">
        <v>110</v>
      </c>
      <c r="H3082" s="682">
        <v>4700</v>
      </c>
      <c r="J3082" s="668" t="str">
        <f t="shared" si="536"/>
        <v>Regular Salaries - 16th Section Land</v>
      </c>
      <c r="L3082" s="668">
        <v>86</v>
      </c>
      <c r="M3082" s="669">
        <v>81</v>
      </c>
      <c r="N3082" s="668"/>
      <c r="O3082" s="668">
        <v>24</v>
      </c>
      <c r="P3082" s="668" t="str">
        <f>IFERROR(VLOOKUP(F3082, [2]MOE!B:C, 2, FALSE), "No")</f>
        <v>No</v>
      </c>
      <c r="Q3082" s="711"/>
      <c r="S3082" s="670" t="s">
        <v>4025</v>
      </c>
      <c r="T3082" s="668" t="s">
        <v>4028</v>
      </c>
    </row>
    <row r="3083" spans="1:20">
      <c r="A3083" s="679">
        <v>1204500</v>
      </c>
      <c r="B3083" s="672"/>
      <c r="C3083" s="672"/>
      <c r="D3083" s="672" t="s">
        <v>850</v>
      </c>
      <c r="E3083" s="676" t="s">
        <v>4030</v>
      </c>
      <c r="F3083" s="680" t="s">
        <v>4031</v>
      </c>
      <c r="G3083" s="710">
        <v>120</v>
      </c>
      <c r="H3083" s="682">
        <v>4500</v>
      </c>
      <c r="J3083" s="668" t="str">
        <f t="shared" si="536"/>
        <v>Temporary Employees</v>
      </c>
      <c r="L3083" s="668">
        <v>86</v>
      </c>
      <c r="M3083" s="669">
        <v>81</v>
      </c>
      <c r="N3083" s="668"/>
      <c r="O3083" s="668">
        <v>24</v>
      </c>
      <c r="P3083" s="668" t="str">
        <f>IFERROR(VLOOKUP(F3083, [2]MOE!B:C, 2, FALSE), "No")</f>
        <v>No</v>
      </c>
      <c r="Q3083" s="711"/>
      <c r="S3083" s="670" t="s">
        <v>4025</v>
      </c>
      <c r="T3083" s="668" t="s">
        <v>4030</v>
      </c>
    </row>
    <row r="3084" spans="1:20" ht="18">
      <c r="A3084" s="679">
        <v>1004900</v>
      </c>
      <c r="B3084" s="723"/>
      <c r="C3084" s="672"/>
      <c r="D3084" s="672" t="s">
        <v>853</v>
      </c>
      <c r="E3084" s="676" t="s">
        <v>4032</v>
      </c>
      <c r="F3084" s="680" t="s">
        <v>4033</v>
      </c>
      <c r="G3084" s="710">
        <v>100</v>
      </c>
      <c r="H3084" s="682">
        <v>4900</v>
      </c>
      <c r="J3084" s="668" t="str">
        <f t="shared" si="536"/>
        <v>All Other Salaries - Fac Acq/Construction</v>
      </c>
      <c r="L3084" s="668">
        <v>86</v>
      </c>
      <c r="M3084" s="669">
        <v>81</v>
      </c>
      <c r="N3084" s="668"/>
      <c r="O3084" s="668">
        <v>24</v>
      </c>
      <c r="P3084" s="668" t="str">
        <f>IFERROR(VLOOKUP(F3084, [2]MOE!B:C, 2, FALSE), "No")</f>
        <v>No</v>
      </c>
      <c r="Q3084" s="711"/>
      <c r="S3084" s="670" t="s">
        <v>4025</v>
      </c>
      <c r="T3084" s="668" t="s">
        <v>4032</v>
      </c>
    </row>
    <row r="3085" spans="1:20" ht="18">
      <c r="A3085" s="671"/>
      <c r="B3085" s="723"/>
      <c r="C3085" s="678">
        <v>115</v>
      </c>
      <c r="D3085" s="927" t="s">
        <v>1113</v>
      </c>
      <c r="E3085" s="926"/>
      <c r="F3085" s="675"/>
      <c r="G3085" s="672"/>
      <c r="H3085" s="676"/>
      <c r="Q3085" s="711"/>
      <c r="S3085" s="670"/>
    </row>
    <row r="3086" spans="1:20">
      <c r="A3086" s="679">
        <v>3324500</v>
      </c>
      <c r="B3086" s="672"/>
      <c r="C3086" s="672"/>
      <c r="D3086" s="672" t="s">
        <v>759</v>
      </c>
      <c r="E3086" s="676" t="s">
        <v>12</v>
      </c>
      <c r="F3086" s="680" t="s">
        <v>4034</v>
      </c>
      <c r="G3086" s="710">
        <v>332</v>
      </c>
      <c r="H3086" s="682">
        <v>4500</v>
      </c>
      <c r="J3086" s="668" t="str">
        <f t="shared" ref="J3086:J3087" si="537">E3086</f>
        <v>Legal Services</v>
      </c>
      <c r="L3086" s="668">
        <v>98</v>
      </c>
      <c r="M3086" s="669">
        <v>93</v>
      </c>
      <c r="N3086" s="668"/>
      <c r="O3086" s="668">
        <v>24</v>
      </c>
      <c r="P3086" s="668" t="str">
        <f>IFERROR(VLOOKUP(F3086, [2]MOE!B:C, 2, FALSE), "No")</f>
        <v>No</v>
      </c>
      <c r="Q3086" s="711"/>
      <c r="S3086" s="670" t="s">
        <v>4025</v>
      </c>
      <c r="T3086" s="668" t="s">
        <v>12</v>
      </c>
    </row>
    <row r="3087" spans="1:20">
      <c r="A3087" s="679">
        <v>3344300</v>
      </c>
      <c r="B3087" s="672"/>
      <c r="C3087" s="672"/>
      <c r="D3087" s="672" t="s">
        <v>777</v>
      </c>
      <c r="E3087" s="676" t="s">
        <v>4035</v>
      </c>
      <c r="F3087" s="680" t="s">
        <v>4036</v>
      </c>
      <c r="G3087" s="710">
        <v>334</v>
      </c>
      <c r="H3087" s="682">
        <v>4300</v>
      </c>
      <c r="J3087" s="668" t="str">
        <f t="shared" si="537"/>
        <v>Architect/Engineering Services</v>
      </c>
      <c r="L3087" s="668">
        <v>101</v>
      </c>
      <c r="M3087" s="669">
        <v>96</v>
      </c>
      <c r="N3087" s="668"/>
      <c r="O3087" s="668">
        <v>24</v>
      </c>
      <c r="P3087" s="668" t="str">
        <f>IFERROR(VLOOKUP(F3087, [2]MOE!B:C, 2, FALSE), "No")</f>
        <v>No</v>
      </c>
      <c r="Q3087" s="711"/>
      <c r="S3087" s="670" t="s">
        <v>4025</v>
      </c>
      <c r="T3087" s="668" t="s">
        <v>4035</v>
      </c>
    </row>
    <row r="3088" spans="1:20">
      <c r="A3088" s="671"/>
      <c r="B3088" s="672"/>
      <c r="C3088" s="672"/>
      <c r="D3088" s="672" t="s">
        <v>801</v>
      </c>
      <c r="E3088" s="676" t="s">
        <v>3870</v>
      </c>
      <c r="F3088" s="675"/>
      <c r="G3088" s="672"/>
      <c r="H3088" s="676"/>
      <c r="Q3088" s="711"/>
      <c r="S3088" s="670"/>
    </row>
    <row r="3089" spans="1:20">
      <c r="A3089" s="679">
        <v>3004700</v>
      </c>
      <c r="B3089" s="672"/>
      <c r="C3089" s="672"/>
      <c r="D3089" s="672"/>
      <c r="E3089" s="676" t="s">
        <v>4037</v>
      </c>
      <c r="F3089" s="680" t="s">
        <v>4038</v>
      </c>
      <c r="G3089" s="710">
        <v>300</v>
      </c>
      <c r="H3089" s="682">
        <v>4700</v>
      </c>
      <c r="J3089" s="668" t="str">
        <f t="shared" ref="J3089:J3090" si="538">E3089</f>
        <v>(1) 16th Section Land Improvements</v>
      </c>
      <c r="L3089" s="668">
        <v>101</v>
      </c>
      <c r="M3089" s="669">
        <v>96</v>
      </c>
      <c r="N3089" s="668"/>
      <c r="O3089" s="668">
        <v>24</v>
      </c>
      <c r="P3089" s="668" t="str">
        <f>IFERROR(VLOOKUP(F3089, [2]MOE!B:C, 2, FALSE), "No")</f>
        <v>No</v>
      </c>
      <c r="Q3089" s="711"/>
      <c r="S3089" s="670" t="s">
        <v>4025</v>
      </c>
      <c r="T3089" s="668" t="s">
        <v>4039</v>
      </c>
    </row>
    <row r="3090" spans="1:20">
      <c r="A3090" s="679">
        <v>3004900</v>
      </c>
      <c r="B3090" s="672"/>
      <c r="C3090" s="672"/>
      <c r="D3090" s="672"/>
      <c r="E3090" s="676" t="s">
        <v>4040</v>
      </c>
      <c r="F3090" s="680" t="s">
        <v>4041</v>
      </c>
      <c r="G3090" s="710">
        <v>300</v>
      </c>
      <c r="H3090" s="682">
        <v>4900</v>
      </c>
      <c r="J3090" s="668" t="str">
        <f t="shared" si="538"/>
        <v>(2) Other</v>
      </c>
      <c r="L3090" s="668">
        <v>101</v>
      </c>
      <c r="M3090" s="669">
        <v>96</v>
      </c>
      <c r="N3090" s="668"/>
      <c r="O3090" s="668">
        <v>24</v>
      </c>
      <c r="P3090" s="668" t="str">
        <f>IFERROR(VLOOKUP(F3090, [2]MOE!B:C, 2, FALSE), "No")</f>
        <v>No</v>
      </c>
      <c r="Q3090" s="711"/>
      <c r="S3090" s="670" t="s">
        <v>4025</v>
      </c>
      <c r="T3090" s="668" t="s">
        <v>4042</v>
      </c>
    </row>
    <row r="3091" spans="1:20">
      <c r="A3091" s="671"/>
      <c r="B3091" s="672"/>
      <c r="C3091" s="678">
        <v>116</v>
      </c>
      <c r="D3091" s="927" t="s">
        <v>250</v>
      </c>
      <c r="E3091" s="926"/>
      <c r="F3091" s="675"/>
      <c r="G3091" s="672"/>
      <c r="H3091" s="676"/>
      <c r="Q3091" s="711"/>
      <c r="S3091" s="670"/>
    </row>
    <row r="3092" spans="1:20">
      <c r="A3092" s="679">
        <v>4504600</v>
      </c>
      <c r="B3092" s="672"/>
      <c r="C3092" s="672"/>
      <c r="D3092" s="672" t="s">
        <v>759</v>
      </c>
      <c r="E3092" s="676" t="s">
        <v>4043</v>
      </c>
      <c r="F3092" s="680" t="s">
        <v>4044</v>
      </c>
      <c r="G3092" s="710">
        <v>450</v>
      </c>
      <c r="H3092" s="682">
        <v>4600</v>
      </c>
      <c r="J3092" s="668" t="str">
        <f t="shared" ref="J3092:J3094" si="539">E3092</f>
        <v>Building Improvements - Renovate/Remodel</v>
      </c>
      <c r="L3092" s="668">
        <v>108</v>
      </c>
      <c r="M3092" s="669">
        <v>103</v>
      </c>
      <c r="N3092" s="668"/>
      <c r="O3092" s="668">
        <v>24</v>
      </c>
      <c r="P3092" s="668" t="str">
        <f>IFERROR(VLOOKUP(F3092, [2]MOE!B:C, 2, FALSE), "No")</f>
        <v>No</v>
      </c>
      <c r="Q3092" s="711"/>
      <c r="S3092" s="670" t="s">
        <v>4025</v>
      </c>
      <c r="T3092" s="668" t="s">
        <v>4043</v>
      </c>
    </row>
    <row r="3093" spans="1:20">
      <c r="A3093" s="679">
        <v>4504500</v>
      </c>
      <c r="B3093" s="672"/>
      <c r="C3093" s="672"/>
      <c r="D3093" s="672" t="s">
        <v>777</v>
      </c>
      <c r="E3093" s="676" t="s">
        <v>4045</v>
      </c>
      <c r="F3093" s="680" t="s">
        <v>4046</v>
      </c>
      <c r="G3093" s="710">
        <v>450</v>
      </c>
      <c r="H3093" s="682">
        <v>4500</v>
      </c>
      <c r="J3093" s="668" t="str">
        <f t="shared" si="539"/>
        <v>Building Acquisition and Construction</v>
      </c>
      <c r="L3093" s="668">
        <v>108</v>
      </c>
      <c r="M3093" s="669">
        <v>103</v>
      </c>
      <c r="N3093" s="668"/>
      <c r="O3093" s="668">
        <v>24</v>
      </c>
      <c r="P3093" s="668" t="str">
        <f>IFERROR(VLOOKUP(F3093, [2]MOE!B:C, 2, FALSE), "No")</f>
        <v>No</v>
      </c>
      <c r="Q3093" s="711"/>
      <c r="S3093" s="670" t="s">
        <v>4025</v>
      </c>
      <c r="T3093" s="668" t="s">
        <v>4045</v>
      </c>
    </row>
    <row r="3094" spans="1:20">
      <c r="A3094" s="679">
        <v>4004900</v>
      </c>
      <c r="B3094" s="672"/>
      <c r="C3094" s="672"/>
      <c r="D3094" s="672" t="s">
        <v>801</v>
      </c>
      <c r="E3094" s="676" t="s">
        <v>1027</v>
      </c>
      <c r="F3094" s="680" t="s">
        <v>4047</v>
      </c>
      <c r="G3094" s="710">
        <v>400</v>
      </c>
      <c r="H3094" s="682">
        <v>4900</v>
      </c>
      <c r="J3094" s="668" t="str">
        <f t="shared" si="539"/>
        <v>Other Purchased Property Services</v>
      </c>
      <c r="L3094" s="668">
        <v>108</v>
      </c>
      <c r="M3094" s="669">
        <v>103</v>
      </c>
      <c r="N3094" s="668"/>
      <c r="O3094" s="668">
        <v>24</v>
      </c>
      <c r="P3094" s="668" t="str">
        <f>IFERROR(VLOOKUP(F3094, [2]MOE!B:C, 2, FALSE), "No")</f>
        <v>No</v>
      </c>
      <c r="Q3094" s="711"/>
      <c r="S3094" s="670" t="s">
        <v>4025</v>
      </c>
      <c r="T3094" s="668" t="s">
        <v>1027</v>
      </c>
    </row>
    <row r="3095" spans="1:20">
      <c r="A3095" s="671"/>
      <c r="B3095" s="672"/>
      <c r="C3095" s="678">
        <v>117</v>
      </c>
      <c r="D3095" s="927" t="s">
        <v>4048</v>
      </c>
      <c r="E3095" s="926"/>
      <c r="F3095" s="675"/>
      <c r="G3095" s="672"/>
      <c r="H3095" s="676"/>
      <c r="Q3095" s="711"/>
      <c r="S3095" s="670"/>
    </row>
    <row r="3096" spans="1:20">
      <c r="A3096" s="679">
        <v>5824500</v>
      </c>
      <c r="B3096" s="672"/>
      <c r="C3096" s="672"/>
      <c r="D3096" s="672" t="s">
        <v>759</v>
      </c>
      <c r="E3096" s="676" t="s">
        <v>1039</v>
      </c>
      <c r="F3096" s="680" t="s">
        <v>4049</v>
      </c>
      <c r="G3096" s="710">
        <v>582</v>
      </c>
      <c r="H3096" s="682">
        <v>4500</v>
      </c>
      <c r="J3096" s="668" t="str">
        <f t="shared" ref="J3096:J3097" si="540">E3096</f>
        <v>Travel Expense Reimbursement</v>
      </c>
      <c r="L3096" s="668">
        <v>118</v>
      </c>
      <c r="M3096" s="669">
        <v>109</v>
      </c>
      <c r="N3096" s="668"/>
      <c r="O3096" s="668">
        <v>24</v>
      </c>
      <c r="P3096" s="668" t="str">
        <f>IFERROR(VLOOKUP(F3096, [2]MOE!B:C, 2, FALSE), "No")</f>
        <v>No</v>
      </c>
      <c r="Q3096" s="711"/>
      <c r="S3096" s="670" t="s">
        <v>4025</v>
      </c>
      <c r="T3096" s="668" t="s">
        <v>1039</v>
      </c>
    </row>
    <row r="3097" spans="1:20">
      <c r="A3097" s="679">
        <v>5004900</v>
      </c>
      <c r="B3097" s="672"/>
      <c r="C3097" s="672"/>
      <c r="D3097" s="672" t="s">
        <v>777</v>
      </c>
      <c r="E3097" s="676" t="s">
        <v>3915</v>
      </c>
      <c r="F3097" s="680" t="s">
        <v>4050</v>
      </c>
      <c r="G3097" s="710">
        <v>500</v>
      </c>
      <c r="H3097" s="682">
        <v>4900</v>
      </c>
      <c r="J3097" s="668" t="str">
        <f t="shared" si="540"/>
        <v>All Other Purchased Services</v>
      </c>
      <c r="L3097" s="668">
        <v>119</v>
      </c>
      <c r="M3097" s="669">
        <v>110</v>
      </c>
      <c r="N3097" s="668"/>
      <c r="O3097" s="668">
        <v>24</v>
      </c>
      <c r="P3097" s="668" t="str">
        <f>IFERROR(VLOOKUP(F3097, [2]MOE!B:C, 2, FALSE), "No")</f>
        <v>No</v>
      </c>
      <c r="Q3097" s="711"/>
      <c r="S3097" s="670" t="s">
        <v>4025</v>
      </c>
      <c r="T3097" s="668" t="s">
        <v>3915</v>
      </c>
    </row>
    <row r="3098" spans="1:20">
      <c r="A3098" s="671"/>
      <c r="B3098" s="672"/>
      <c r="C3098" s="678">
        <v>118</v>
      </c>
      <c r="D3098" s="927" t="s">
        <v>4051</v>
      </c>
      <c r="E3098" s="926"/>
      <c r="F3098" s="675"/>
      <c r="G3098" s="672"/>
      <c r="H3098" s="676"/>
      <c r="Q3098" s="711"/>
      <c r="S3098" s="670"/>
    </row>
    <row r="3099" spans="1:20">
      <c r="A3099" s="679">
        <v>6154900</v>
      </c>
      <c r="B3099" s="672"/>
      <c r="C3099" s="672"/>
      <c r="D3099" s="672" t="s">
        <v>759</v>
      </c>
      <c r="E3099" s="676" t="s">
        <v>1043</v>
      </c>
      <c r="F3099" s="680" t="s">
        <v>4052</v>
      </c>
      <c r="G3099" s="710">
        <v>615</v>
      </c>
      <c r="H3099" s="682">
        <v>4900</v>
      </c>
      <c r="J3099" s="668" t="str">
        <f t="shared" ref="J3099:J3101" si="541">E3099</f>
        <v>Technology-Related Supplies</v>
      </c>
      <c r="L3099" s="668">
        <v>126</v>
      </c>
      <c r="M3099" s="669">
        <v>117</v>
      </c>
      <c r="N3099" s="668"/>
      <c r="O3099" s="668">
        <v>24</v>
      </c>
      <c r="P3099" s="668" t="str">
        <f>IFERROR(VLOOKUP(F3099, [2]MOE!B:C, 2, FALSE), "No")</f>
        <v>No</v>
      </c>
      <c r="Q3099" s="711" t="s">
        <v>1045</v>
      </c>
      <c r="S3099" s="670" t="s">
        <v>4025</v>
      </c>
      <c r="T3099" s="668" t="s">
        <v>1043</v>
      </c>
    </row>
    <row r="3100" spans="1:20">
      <c r="A3100" s="679">
        <v>6104900</v>
      </c>
      <c r="B3100" s="672"/>
      <c r="C3100" s="672"/>
      <c r="D3100" s="672" t="s">
        <v>777</v>
      </c>
      <c r="E3100" s="676" t="s">
        <v>39</v>
      </c>
      <c r="F3100" s="680" t="s">
        <v>4053</v>
      </c>
      <c r="G3100" s="710">
        <v>610</v>
      </c>
      <c r="H3100" s="682">
        <v>4900</v>
      </c>
      <c r="J3100" s="668" t="str">
        <f t="shared" si="541"/>
        <v>Materials and Supplies</v>
      </c>
      <c r="L3100" s="668">
        <v>122</v>
      </c>
      <c r="M3100" s="669">
        <v>113</v>
      </c>
      <c r="N3100" s="668"/>
      <c r="O3100" s="668">
        <v>24</v>
      </c>
      <c r="P3100" s="668" t="str">
        <f>IFERROR(VLOOKUP(F3100, [2]MOE!B:C, 2, FALSE), "No")</f>
        <v>No</v>
      </c>
      <c r="Q3100" s="711" t="s">
        <v>1045</v>
      </c>
      <c r="S3100" s="670" t="s">
        <v>4025</v>
      </c>
      <c r="T3100" s="668" t="s">
        <v>39</v>
      </c>
    </row>
    <row r="3101" spans="1:20">
      <c r="A3101" s="679">
        <v>6004900</v>
      </c>
      <c r="B3101" s="672"/>
      <c r="C3101" s="672"/>
      <c r="D3101" s="672" t="s">
        <v>801</v>
      </c>
      <c r="E3101" s="676" t="s">
        <v>1050</v>
      </c>
      <c r="F3101" s="680" t="s">
        <v>4054</v>
      </c>
      <c r="G3101" s="710">
        <v>600</v>
      </c>
      <c r="H3101" s="682">
        <v>4900</v>
      </c>
      <c r="J3101" s="668" t="str">
        <f t="shared" si="541"/>
        <v>Other Supplies</v>
      </c>
      <c r="L3101" s="668">
        <v>126</v>
      </c>
      <c r="M3101" s="669">
        <v>117</v>
      </c>
      <c r="N3101" s="668"/>
      <c r="O3101" s="668">
        <v>24</v>
      </c>
      <c r="P3101" s="668" t="str">
        <f>IFERROR(VLOOKUP(F3101, [2]MOE!B:C, 2, FALSE), "No")</f>
        <v>No</v>
      </c>
      <c r="S3101" s="670" t="s">
        <v>4025</v>
      </c>
      <c r="T3101" s="668" t="s">
        <v>1050</v>
      </c>
    </row>
    <row r="3102" spans="1:20">
      <c r="A3102" s="671"/>
      <c r="B3102" s="672"/>
      <c r="C3102" s="678">
        <v>119</v>
      </c>
      <c r="D3102" s="927" t="s">
        <v>4055</v>
      </c>
      <c r="E3102" s="926"/>
      <c r="F3102" s="675"/>
      <c r="G3102" s="672"/>
      <c r="H3102" s="676"/>
      <c r="S3102" s="670"/>
    </row>
    <row r="3103" spans="1:20">
      <c r="A3103" s="679">
        <v>7104100</v>
      </c>
      <c r="B3103" s="672"/>
      <c r="C3103" s="672"/>
      <c r="D3103" s="672" t="s">
        <v>759</v>
      </c>
      <c r="E3103" s="676" t="s">
        <v>4056</v>
      </c>
      <c r="F3103" s="680" t="s">
        <v>4057</v>
      </c>
      <c r="G3103" s="710">
        <v>710</v>
      </c>
      <c r="H3103" s="682">
        <v>4100</v>
      </c>
      <c r="J3103" s="668" t="str">
        <f t="shared" ref="J3103:J3105" si="542">E3103</f>
        <v>Land Acquisitions</v>
      </c>
      <c r="L3103" s="668">
        <v>129</v>
      </c>
      <c r="M3103" s="669">
        <v>120</v>
      </c>
      <c r="N3103" s="668"/>
      <c r="O3103" s="668">
        <v>24</v>
      </c>
      <c r="P3103" s="668" t="str">
        <f>IFERROR(VLOOKUP(F3103, [2]MOE!B:C, 2, FALSE), "No")</f>
        <v>No</v>
      </c>
      <c r="S3103" s="670" t="s">
        <v>4025</v>
      </c>
      <c r="T3103" s="668" t="s">
        <v>4056</v>
      </c>
    </row>
    <row r="3104" spans="1:20">
      <c r="A3104" s="679">
        <v>7104200</v>
      </c>
      <c r="B3104" s="672"/>
      <c r="C3104" s="672"/>
      <c r="D3104" s="672" t="s">
        <v>777</v>
      </c>
      <c r="E3104" s="676" t="s">
        <v>4058</v>
      </c>
      <c r="F3104" s="680" t="s">
        <v>4059</v>
      </c>
      <c r="G3104" s="710">
        <v>710</v>
      </c>
      <c r="H3104" s="682">
        <v>4200</v>
      </c>
      <c r="J3104" s="668" t="str">
        <f t="shared" si="542"/>
        <v>Land Improvements</v>
      </c>
      <c r="L3104" s="668">
        <v>129</v>
      </c>
      <c r="M3104" s="669">
        <v>120</v>
      </c>
      <c r="N3104" s="668"/>
      <c r="O3104" s="668">
        <v>24</v>
      </c>
      <c r="P3104" s="668" t="str">
        <f>IFERROR(VLOOKUP(F3104, [2]MOE!B:C, 2, FALSE), "No")</f>
        <v>No</v>
      </c>
      <c r="S3104" s="670" t="s">
        <v>4025</v>
      </c>
      <c r="T3104" s="668" t="s">
        <v>4058</v>
      </c>
    </row>
    <row r="3105" spans="1:20">
      <c r="A3105" s="679">
        <v>7204500</v>
      </c>
      <c r="B3105" s="672"/>
      <c r="C3105" s="672"/>
      <c r="D3105" s="672" t="s">
        <v>801</v>
      </c>
      <c r="E3105" s="676" t="s">
        <v>4060</v>
      </c>
      <c r="F3105" s="680" t="s">
        <v>4061</v>
      </c>
      <c r="G3105" s="710">
        <v>720</v>
      </c>
      <c r="H3105" s="682">
        <v>4500</v>
      </c>
      <c r="J3105" s="668" t="str">
        <f t="shared" si="542"/>
        <v>Building Acquisition</v>
      </c>
      <c r="L3105" s="668">
        <v>130</v>
      </c>
      <c r="M3105" s="669">
        <v>121</v>
      </c>
      <c r="N3105" s="668"/>
      <c r="O3105" s="668">
        <v>24</v>
      </c>
      <c r="P3105" s="668" t="str">
        <f>IFERROR(VLOOKUP(F3105, [2]MOE!B:C, 2, FALSE), "No")</f>
        <v>No</v>
      </c>
      <c r="S3105" s="670" t="s">
        <v>4025</v>
      </c>
      <c r="T3105" s="668" t="s">
        <v>4060</v>
      </c>
    </row>
    <row r="3106" spans="1:20">
      <c r="A3106" s="671"/>
      <c r="B3106" s="672"/>
      <c r="C3106" s="672"/>
      <c r="D3106" s="672" t="s">
        <v>805</v>
      </c>
      <c r="E3106" s="676" t="s">
        <v>3442</v>
      </c>
      <c r="F3106" s="675"/>
      <c r="G3106" s="672"/>
      <c r="H3106" s="676"/>
      <c r="S3106" s="670"/>
    </row>
    <row r="3107" spans="1:20">
      <c r="A3107" s="679">
        <v>7344900</v>
      </c>
      <c r="B3107" s="672"/>
      <c r="C3107" s="672"/>
      <c r="D3107" s="672"/>
      <c r="E3107" s="676" t="s">
        <v>1147</v>
      </c>
      <c r="F3107" s="680" t="s">
        <v>4062</v>
      </c>
      <c r="G3107" s="710">
        <v>734</v>
      </c>
      <c r="H3107" s="682">
        <v>4900</v>
      </c>
      <c r="J3107" s="668" t="str">
        <f t="shared" ref="J3107:J3111" si="543">E3107</f>
        <v>(1) Technology-Related Hardware</v>
      </c>
      <c r="L3107" s="668">
        <v>131</v>
      </c>
      <c r="M3107" s="669">
        <v>122</v>
      </c>
      <c r="N3107" s="668"/>
      <c r="O3107" s="668">
        <v>24</v>
      </c>
      <c r="P3107" s="668" t="str">
        <f>IFERROR(VLOOKUP(F3107, [2]MOE!B:C, 2, FALSE), "No")</f>
        <v>No</v>
      </c>
      <c r="S3107" s="670" t="s">
        <v>4025</v>
      </c>
      <c r="T3107" s="668" t="s">
        <v>1053</v>
      </c>
    </row>
    <row r="3108" spans="1:20">
      <c r="A3108" s="679">
        <v>7354900</v>
      </c>
      <c r="B3108" s="672"/>
      <c r="C3108" s="672"/>
      <c r="D3108" s="672"/>
      <c r="E3108" s="676" t="s">
        <v>1149</v>
      </c>
      <c r="F3108" s="680" t="s">
        <v>4063</v>
      </c>
      <c r="G3108" s="710">
        <v>735</v>
      </c>
      <c r="H3108" s="682">
        <v>4900</v>
      </c>
      <c r="J3108" s="668" t="str">
        <f t="shared" si="543"/>
        <v>(2) Technology Software</v>
      </c>
      <c r="L3108" s="668">
        <v>131</v>
      </c>
      <c r="M3108" s="669">
        <v>122</v>
      </c>
      <c r="N3108" s="668"/>
      <c r="O3108" s="668">
        <v>24</v>
      </c>
      <c r="P3108" s="668" t="str">
        <f>IFERROR(VLOOKUP(F3108, [2]MOE!B:C, 2, FALSE), "No")</f>
        <v>No</v>
      </c>
      <c r="S3108" s="670" t="s">
        <v>4025</v>
      </c>
      <c r="T3108" s="668" t="s">
        <v>1055</v>
      </c>
    </row>
    <row r="3109" spans="1:20">
      <c r="A3109" s="679">
        <v>7304900</v>
      </c>
      <c r="B3109" s="672"/>
      <c r="C3109" s="672"/>
      <c r="D3109" s="672"/>
      <c r="E3109" s="676" t="s">
        <v>1151</v>
      </c>
      <c r="F3109" s="680" t="s">
        <v>4064</v>
      </c>
      <c r="G3109" s="710">
        <v>730</v>
      </c>
      <c r="H3109" s="682">
        <v>4900</v>
      </c>
      <c r="J3109" s="668" t="str">
        <f t="shared" si="543"/>
        <v>(3) All Other Equipment</v>
      </c>
      <c r="L3109" s="668">
        <v>131</v>
      </c>
      <c r="M3109" s="669">
        <v>122</v>
      </c>
      <c r="N3109" s="668"/>
      <c r="O3109" s="668">
        <v>24</v>
      </c>
      <c r="P3109" s="668" t="str">
        <f>IFERROR(VLOOKUP(F3109, [2]MOE!B:C, 2, FALSE), "No")</f>
        <v>No</v>
      </c>
      <c r="S3109" s="670" t="s">
        <v>4025</v>
      </c>
      <c r="T3109" s="668" t="s">
        <v>1057</v>
      </c>
    </row>
    <row r="3110" spans="1:20">
      <c r="A3110" s="679">
        <v>7604200</v>
      </c>
      <c r="B3110" s="672"/>
      <c r="C3110" s="672"/>
      <c r="D3110" s="672" t="s">
        <v>850</v>
      </c>
      <c r="E3110" s="676" t="s">
        <v>4065</v>
      </c>
      <c r="F3110" s="680" t="s">
        <v>4066</v>
      </c>
      <c r="G3110" s="710">
        <v>760</v>
      </c>
      <c r="H3110" s="682">
        <v>4200</v>
      </c>
      <c r="J3110" s="668" t="str">
        <f t="shared" si="543"/>
        <v>Infrastructure</v>
      </c>
      <c r="L3110" s="668">
        <v>132</v>
      </c>
      <c r="M3110" s="669">
        <v>123</v>
      </c>
      <c r="N3110" s="668"/>
      <c r="O3110" s="668">
        <v>24</v>
      </c>
      <c r="P3110" s="668" t="str">
        <f>IFERROR(VLOOKUP(F3110, [2]MOE!B:C, 2, FALSE), "No")</f>
        <v>No</v>
      </c>
      <c r="S3110" s="670" t="s">
        <v>4025</v>
      </c>
      <c r="T3110" s="668" t="s">
        <v>4065</v>
      </c>
    </row>
    <row r="3111" spans="1:20">
      <c r="A3111" s="679">
        <v>7004900</v>
      </c>
      <c r="B3111" s="672"/>
      <c r="C3111" s="672"/>
      <c r="D3111" s="672" t="s">
        <v>853</v>
      </c>
      <c r="E3111" s="676" t="s">
        <v>4067</v>
      </c>
      <c r="F3111" s="680" t="s">
        <v>4068</v>
      </c>
      <c r="G3111" s="710">
        <v>700</v>
      </c>
      <c r="H3111" s="682">
        <v>4900</v>
      </c>
      <c r="J3111" s="668" t="str">
        <f t="shared" si="543"/>
        <v>All Other Property</v>
      </c>
      <c r="L3111" s="668">
        <v>132</v>
      </c>
      <c r="M3111" s="669">
        <v>123</v>
      </c>
      <c r="N3111" s="668"/>
      <c r="O3111" s="668">
        <v>24</v>
      </c>
      <c r="P3111" s="668" t="str">
        <f>IFERROR(VLOOKUP(F3111, [2]MOE!B:C, 2, FALSE), "No")</f>
        <v>No</v>
      </c>
      <c r="S3111" s="670" t="s">
        <v>4025</v>
      </c>
      <c r="T3111" s="668" t="s">
        <v>4067</v>
      </c>
    </row>
    <row r="3112" spans="1:20">
      <c r="A3112" s="671"/>
      <c r="B3112" s="672"/>
      <c r="C3112" s="678">
        <v>120</v>
      </c>
      <c r="D3112" s="927" t="s">
        <v>3071</v>
      </c>
      <c r="E3112" s="926"/>
      <c r="F3112" s="675"/>
      <c r="G3112" s="672"/>
      <c r="H3112" s="676"/>
      <c r="S3112" s="670"/>
    </row>
    <row r="3113" spans="1:20">
      <c r="A3113" s="679">
        <v>8004700</v>
      </c>
      <c r="B3113" s="672"/>
      <c r="C3113" s="672"/>
      <c r="D3113" s="672" t="s">
        <v>759</v>
      </c>
      <c r="E3113" s="676" t="s">
        <v>4039</v>
      </c>
      <c r="F3113" s="680" t="s">
        <v>4069</v>
      </c>
      <c r="G3113" s="710">
        <v>800</v>
      </c>
      <c r="H3113" s="682">
        <v>4700</v>
      </c>
      <c r="J3113" s="668" t="str">
        <f t="shared" ref="J3113:J3114" si="544">E3113</f>
        <v>16th Section Land Improvements</v>
      </c>
      <c r="L3113" s="668">
        <v>139</v>
      </c>
      <c r="M3113" s="669">
        <v>129</v>
      </c>
      <c r="N3113" s="668"/>
      <c r="O3113" s="668">
        <v>24</v>
      </c>
      <c r="P3113" s="668" t="str">
        <f>IFERROR(VLOOKUP(F3113, [2]MOE!B:C, 2, FALSE), "No")</f>
        <v>No</v>
      </c>
      <c r="S3113" s="670" t="s">
        <v>4025</v>
      </c>
      <c r="T3113" s="668" t="s">
        <v>4039</v>
      </c>
    </row>
    <row r="3114" spans="1:20">
      <c r="A3114" s="679">
        <v>8004500</v>
      </c>
      <c r="B3114" s="672"/>
      <c r="C3114" s="672"/>
      <c r="D3114" s="672" t="s">
        <v>777</v>
      </c>
      <c r="E3114" s="676" t="s">
        <v>4070</v>
      </c>
      <c r="F3114" s="680" t="s">
        <v>4071</v>
      </c>
      <c r="G3114" s="710">
        <v>800</v>
      </c>
      <c r="H3114" s="682">
        <v>4500</v>
      </c>
      <c r="J3114" s="668" t="str">
        <f t="shared" si="544"/>
        <v>Facilities Acquisition &amp; Contruction</v>
      </c>
      <c r="L3114" s="668">
        <v>139</v>
      </c>
      <c r="M3114" s="669">
        <v>129</v>
      </c>
      <c r="N3114" s="668"/>
      <c r="O3114" s="668">
        <v>24</v>
      </c>
      <c r="P3114" s="668" t="str">
        <f>IFERROR(VLOOKUP(F3114, [2]MOE!B:C, 2, FALSE), "No")</f>
        <v>No</v>
      </c>
      <c r="S3114" s="670" t="s">
        <v>4025</v>
      </c>
      <c r="T3114" s="668" t="s">
        <v>4070</v>
      </c>
    </row>
    <row r="3115" spans="1:20">
      <c r="A3115" s="671"/>
      <c r="B3115" s="672"/>
      <c r="C3115" s="678">
        <v>121</v>
      </c>
      <c r="D3115" s="927" t="s">
        <v>1065</v>
      </c>
      <c r="E3115" s="926"/>
      <c r="F3115" s="675"/>
      <c r="G3115" s="672"/>
      <c r="H3115" s="676"/>
      <c r="S3115" s="670"/>
    </row>
    <row r="3116" spans="1:20">
      <c r="A3116" s="679">
        <v>2104900</v>
      </c>
      <c r="B3116" s="672"/>
      <c r="C3116" s="672"/>
      <c r="D3116" s="672" t="s">
        <v>759</v>
      </c>
      <c r="E3116" s="676" t="s">
        <v>1066</v>
      </c>
      <c r="F3116" s="680" t="s">
        <v>4072</v>
      </c>
      <c r="G3116" s="710">
        <v>210</v>
      </c>
      <c r="H3116" s="682">
        <v>4900</v>
      </c>
      <c r="J3116" s="668" t="str">
        <f t="shared" ref="J3116:J3118" si="545">E3116</f>
        <v>Group Insurance</v>
      </c>
      <c r="L3116" s="668">
        <v>89</v>
      </c>
      <c r="M3116" s="669">
        <v>84</v>
      </c>
      <c r="N3116" s="668"/>
      <c r="O3116" s="668">
        <v>24</v>
      </c>
      <c r="P3116" s="668" t="str">
        <f>IFERROR(VLOOKUP(F3116, [2]MOE!B:C, 2, FALSE), "No")</f>
        <v>No</v>
      </c>
      <c r="S3116" s="670" t="s">
        <v>4025</v>
      </c>
      <c r="T3116" s="668" t="s">
        <v>1066</v>
      </c>
    </row>
    <row r="3117" spans="1:20">
      <c r="A3117" s="679">
        <v>2204900</v>
      </c>
      <c r="B3117" s="672"/>
      <c r="C3117" s="672"/>
      <c r="D3117" s="672" t="s">
        <v>777</v>
      </c>
      <c r="E3117" s="676" t="s">
        <v>1068</v>
      </c>
      <c r="F3117" s="680" t="s">
        <v>4073</v>
      </c>
      <c r="G3117" s="710">
        <v>220</v>
      </c>
      <c r="H3117" s="682">
        <v>4900</v>
      </c>
      <c r="J3117" s="668" t="str">
        <f t="shared" si="545"/>
        <v>FICA</v>
      </c>
      <c r="L3117" s="668">
        <v>90</v>
      </c>
      <c r="M3117" s="669">
        <v>85</v>
      </c>
      <c r="N3117" s="668"/>
      <c r="O3117" s="668">
        <v>24</v>
      </c>
      <c r="P3117" s="668" t="str">
        <f>IFERROR(VLOOKUP(F3117, [2]MOE!B:C, 2, FALSE), "No")</f>
        <v>No</v>
      </c>
      <c r="S3117" s="670" t="s">
        <v>4025</v>
      </c>
      <c r="T3117" s="668" t="s">
        <v>1068</v>
      </c>
    </row>
    <row r="3118" spans="1:20">
      <c r="A3118" s="679">
        <v>2254900</v>
      </c>
      <c r="B3118" s="672"/>
      <c r="C3118" s="672"/>
      <c r="D3118" s="672" t="s">
        <v>801</v>
      </c>
      <c r="E3118" s="676" t="s">
        <v>23</v>
      </c>
      <c r="F3118" s="680" t="s">
        <v>4074</v>
      </c>
      <c r="G3118" s="710">
        <v>225</v>
      </c>
      <c r="H3118" s="682">
        <v>4900</v>
      </c>
      <c r="J3118" s="668" t="str">
        <f t="shared" si="545"/>
        <v>Medicare</v>
      </c>
      <c r="L3118" s="668">
        <v>91</v>
      </c>
      <c r="M3118" s="669">
        <v>86</v>
      </c>
      <c r="N3118" s="668"/>
      <c r="O3118" s="668">
        <v>24</v>
      </c>
      <c r="P3118" s="668" t="str">
        <f>IFERROR(VLOOKUP(F3118, [2]MOE!B:C, 2, FALSE), "No")</f>
        <v>No</v>
      </c>
      <c r="S3118" s="670" t="s">
        <v>4025</v>
      </c>
      <c r="T3118" s="668" t="s">
        <v>23</v>
      </c>
    </row>
    <row r="3119" spans="1:20">
      <c r="A3119" s="671"/>
      <c r="B3119" s="672"/>
      <c r="C3119" s="672"/>
      <c r="D3119" s="672" t="s">
        <v>805</v>
      </c>
      <c r="E3119" s="676" t="s">
        <v>1071</v>
      </c>
      <c r="F3119" s="675"/>
      <c r="G3119" s="672"/>
      <c r="H3119" s="676"/>
      <c r="S3119" s="670"/>
    </row>
    <row r="3120" spans="1:20">
      <c r="A3120" s="679">
        <v>2314900</v>
      </c>
      <c r="B3120" s="672"/>
      <c r="C3120" s="672"/>
      <c r="D3120" s="672"/>
      <c r="E3120" s="676" t="s">
        <v>1072</v>
      </c>
      <c r="F3120" s="680" t="s">
        <v>4075</v>
      </c>
      <c r="G3120" s="710">
        <v>231</v>
      </c>
      <c r="H3120" s="682">
        <v>4900</v>
      </c>
      <c r="J3120" s="668" t="str">
        <f t="shared" ref="J3120:J3128" si="546">E3120</f>
        <v>(1) Louisiana Teachers Retirement</v>
      </c>
      <c r="L3120" s="668">
        <v>92</v>
      </c>
      <c r="M3120" s="669">
        <v>87</v>
      </c>
      <c r="N3120" s="668"/>
      <c r="O3120" s="668">
        <v>24</v>
      </c>
      <c r="P3120" s="668" t="str">
        <f>IFERROR(VLOOKUP(F3120, [2]MOE!B:C, 2, FALSE), "No")</f>
        <v>No</v>
      </c>
      <c r="S3120" s="670" t="s">
        <v>4025</v>
      </c>
      <c r="T3120" s="668" t="s">
        <v>1074</v>
      </c>
    </row>
    <row r="3121" spans="1:20">
      <c r="A3121" s="679">
        <v>2334900</v>
      </c>
      <c r="B3121" s="672"/>
      <c r="C3121" s="672"/>
      <c r="D3121" s="672"/>
      <c r="E3121" s="676" t="s">
        <v>1075</v>
      </c>
      <c r="F3121" s="680" t="s">
        <v>4076</v>
      </c>
      <c r="G3121" s="710">
        <v>233</v>
      </c>
      <c r="H3121" s="682">
        <v>4900</v>
      </c>
      <c r="J3121" s="668" t="str">
        <f t="shared" si="546"/>
        <v>(2) Louisiana School Employees Retirement</v>
      </c>
      <c r="L3121" s="668">
        <v>92</v>
      </c>
      <c r="M3121" s="669">
        <v>87</v>
      </c>
      <c r="N3121" s="668"/>
      <c r="O3121" s="668">
        <v>24</v>
      </c>
      <c r="P3121" s="668" t="str">
        <f>IFERROR(VLOOKUP(F3121, [2]MOE!B:C, 2, FALSE), "No")</f>
        <v>No</v>
      </c>
      <c r="S3121" s="670" t="s">
        <v>4025</v>
      </c>
      <c r="T3121" s="668" t="s">
        <v>1077</v>
      </c>
    </row>
    <row r="3122" spans="1:20">
      <c r="A3122" s="679">
        <v>2394900</v>
      </c>
      <c r="B3122" s="672"/>
      <c r="C3122" s="672"/>
      <c r="D3122" s="672"/>
      <c r="E3122" s="676" t="s">
        <v>1078</v>
      </c>
      <c r="F3122" s="680" t="s">
        <v>4077</v>
      </c>
      <c r="G3122" s="710">
        <v>239</v>
      </c>
      <c r="H3122" s="682">
        <v>4900</v>
      </c>
      <c r="J3122" s="668" t="str">
        <f t="shared" si="546"/>
        <v>(3) Other Retirement</v>
      </c>
      <c r="L3122" s="668">
        <v>92</v>
      </c>
      <c r="M3122" s="669">
        <v>87</v>
      </c>
      <c r="N3122" s="668"/>
      <c r="O3122" s="668">
        <v>24</v>
      </c>
      <c r="P3122" s="668" t="str">
        <f>IFERROR(VLOOKUP(F3122, [2]MOE!B:C, 2, FALSE), "No")</f>
        <v>No</v>
      </c>
      <c r="S3122" s="670" t="s">
        <v>4025</v>
      </c>
      <c r="T3122" s="668" t="s">
        <v>1080</v>
      </c>
    </row>
    <row r="3123" spans="1:20">
      <c r="A3123" s="679">
        <v>2504900</v>
      </c>
      <c r="B3123" s="672"/>
      <c r="C3123" s="672"/>
      <c r="D3123" s="672" t="s">
        <v>850</v>
      </c>
      <c r="E3123" s="676" t="s">
        <v>1081</v>
      </c>
      <c r="F3123" s="680" t="s">
        <v>4078</v>
      </c>
      <c r="G3123" s="710">
        <v>250</v>
      </c>
      <c r="H3123" s="682">
        <v>4900</v>
      </c>
      <c r="J3123" s="668" t="str">
        <f t="shared" si="546"/>
        <v>Unemployment Compensation</v>
      </c>
      <c r="L3123" s="668">
        <v>93</v>
      </c>
      <c r="M3123" s="669">
        <v>88</v>
      </c>
      <c r="N3123" s="668"/>
      <c r="O3123" s="668">
        <v>24</v>
      </c>
      <c r="P3123" s="668" t="str">
        <f>IFERROR(VLOOKUP(F3123, [2]MOE!B:C, 2, FALSE), "No")</f>
        <v>No</v>
      </c>
      <c r="S3123" s="670" t="s">
        <v>4025</v>
      </c>
      <c r="T3123" s="668" t="s">
        <v>1081</v>
      </c>
    </row>
    <row r="3124" spans="1:20">
      <c r="A3124" s="679">
        <v>2604900</v>
      </c>
      <c r="B3124" s="672"/>
      <c r="C3124" s="672"/>
      <c r="D3124" s="672" t="s">
        <v>853</v>
      </c>
      <c r="E3124" s="676" t="s">
        <v>1083</v>
      </c>
      <c r="F3124" s="680" t="s">
        <v>4079</v>
      </c>
      <c r="G3124" s="710">
        <v>260</v>
      </c>
      <c r="H3124" s="682">
        <v>4900</v>
      </c>
      <c r="J3124" s="668" t="str">
        <f t="shared" si="546"/>
        <v>Workmen's Compensation</v>
      </c>
      <c r="L3124" s="668">
        <v>95</v>
      </c>
      <c r="M3124" s="669">
        <v>90</v>
      </c>
      <c r="N3124" s="668"/>
      <c r="O3124" s="668">
        <v>24</v>
      </c>
      <c r="P3124" s="668" t="str">
        <f>IFERROR(VLOOKUP(F3124, [2]MOE!B:C, 2, FALSE), "No")</f>
        <v>No</v>
      </c>
      <c r="S3124" s="670" t="s">
        <v>4025</v>
      </c>
      <c r="T3124" s="668" t="s">
        <v>1083</v>
      </c>
    </row>
    <row r="3125" spans="1:20">
      <c r="A3125" s="679">
        <v>2704900</v>
      </c>
      <c r="B3125" s="672"/>
      <c r="C3125" s="672"/>
      <c r="D3125" s="672" t="s">
        <v>856</v>
      </c>
      <c r="E3125" s="676" t="s">
        <v>1085</v>
      </c>
      <c r="F3125" s="680" t="s">
        <v>4080</v>
      </c>
      <c r="G3125" s="710">
        <v>270</v>
      </c>
      <c r="H3125" s="682">
        <v>4900</v>
      </c>
      <c r="J3125" s="668" t="str">
        <f t="shared" si="546"/>
        <v>Health Benefits (retirees)</v>
      </c>
      <c r="L3125" s="668">
        <v>94</v>
      </c>
      <c r="M3125" s="669">
        <v>89</v>
      </c>
      <c r="N3125" s="668"/>
      <c r="O3125" s="668">
        <v>24</v>
      </c>
      <c r="P3125" s="668" t="str">
        <f>IFERROR(VLOOKUP(F3125, [2]MOE!B:C, 2, FALSE), "No")</f>
        <v>No</v>
      </c>
      <c r="S3125" s="670" t="s">
        <v>4025</v>
      </c>
      <c r="T3125" s="668" t="s">
        <v>1085</v>
      </c>
    </row>
    <row r="3126" spans="1:20">
      <c r="A3126" s="679">
        <v>2814900</v>
      </c>
      <c r="B3126" s="672"/>
      <c r="C3126" s="672"/>
      <c r="D3126" s="672" t="s">
        <v>859</v>
      </c>
      <c r="E3126" s="676" t="s">
        <v>1087</v>
      </c>
      <c r="F3126" s="680" t="s">
        <v>4081</v>
      </c>
      <c r="G3126" s="710">
        <v>281</v>
      </c>
      <c r="H3126" s="682">
        <v>4900</v>
      </c>
      <c r="J3126" s="668" t="str">
        <f t="shared" si="546"/>
        <v>Sick Leave Severance Pay</v>
      </c>
      <c r="L3126" s="668">
        <v>95</v>
      </c>
      <c r="M3126" s="669">
        <v>90</v>
      </c>
      <c r="N3126" s="668"/>
      <c r="O3126" s="668">
        <v>24</v>
      </c>
      <c r="P3126" s="668" t="str">
        <f>IFERROR(VLOOKUP(F3126, [2]MOE!B:C, 2, FALSE), "No")</f>
        <v>No</v>
      </c>
      <c r="S3126" s="670" t="s">
        <v>4025</v>
      </c>
      <c r="T3126" s="668" t="s">
        <v>1087</v>
      </c>
    </row>
    <row r="3127" spans="1:20">
      <c r="A3127" s="679">
        <v>2824900</v>
      </c>
      <c r="B3127" s="672"/>
      <c r="C3127" s="672"/>
      <c r="D3127" s="672" t="s">
        <v>862</v>
      </c>
      <c r="E3127" s="676" t="s">
        <v>1089</v>
      </c>
      <c r="F3127" s="680" t="s">
        <v>4082</v>
      </c>
      <c r="G3127" s="710">
        <v>282</v>
      </c>
      <c r="H3127" s="682">
        <v>4900</v>
      </c>
      <c r="J3127" s="668" t="str">
        <f t="shared" si="546"/>
        <v>Annual Leave Severance Pay</v>
      </c>
      <c r="L3127" s="668">
        <v>95</v>
      </c>
      <c r="M3127" s="669">
        <v>90</v>
      </c>
      <c r="N3127" s="668"/>
      <c r="O3127" s="668">
        <v>24</v>
      </c>
      <c r="P3127" s="668" t="str">
        <f>IFERROR(VLOOKUP(F3127, [2]MOE!B:C, 2, FALSE), "No")</f>
        <v>No</v>
      </c>
      <c r="S3127" s="670" t="s">
        <v>4025</v>
      </c>
      <c r="T3127" s="668" t="s">
        <v>1089</v>
      </c>
    </row>
    <row r="3128" spans="1:20">
      <c r="A3128" s="679">
        <v>2904900</v>
      </c>
      <c r="B3128" s="672"/>
      <c r="C3128" s="672"/>
      <c r="D3128" s="672" t="s">
        <v>1091</v>
      </c>
      <c r="E3128" s="676" t="s">
        <v>1092</v>
      </c>
      <c r="F3128" s="683" t="s">
        <v>4083</v>
      </c>
      <c r="G3128" s="710">
        <v>290</v>
      </c>
      <c r="H3128" s="682">
        <v>4900</v>
      </c>
      <c r="J3128" s="668" t="str">
        <f t="shared" si="546"/>
        <v>Other Employee Benefits</v>
      </c>
      <c r="L3128" s="668">
        <v>95</v>
      </c>
      <c r="M3128" s="669">
        <v>90</v>
      </c>
      <c r="N3128" s="668"/>
      <c r="O3128" s="668">
        <v>24</v>
      </c>
      <c r="P3128" s="668" t="str">
        <f>IFERROR(VLOOKUP(F3128, [2]MOE!B:C, 2, FALSE), "No")</f>
        <v>No</v>
      </c>
      <c r="S3128" s="670" t="s">
        <v>4025</v>
      </c>
      <c r="T3128" s="668" t="s">
        <v>1092</v>
      </c>
    </row>
    <row r="3129" spans="1:20" ht="16" thickBot="1">
      <c r="A3129" s="729"/>
      <c r="B3129" s="922" t="s">
        <v>4084</v>
      </c>
      <c r="C3129" s="923"/>
      <c r="D3129" s="923"/>
      <c r="E3129" s="924"/>
      <c r="F3129" s="730" t="s">
        <v>638</v>
      </c>
      <c r="G3129" s="663"/>
      <c r="H3129" s="664"/>
      <c r="S3129" s="670"/>
    </row>
    <row r="3130" spans="1:20" ht="16" thickTop="1">
      <c r="A3130" s="671"/>
      <c r="B3130" s="677"/>
      <c r="C3130" s="677"/>
      <c r="D3130" s="677"/>
      <c r="E3130" s="677"/>
      <c r="F3130" s="731"/>
      <c r="G3130" s="728"/>
      <c r="H3130" s="677"/>
      <c r="S3130" s="670"/>
    </row>
    <row r="3131" spans="1:20">
      <c r="A3131" s="671"/>
      <c r="B3131" s="677" t="s">
        <v>4085</v>
      </c>
      <c r="C3131" s="921" t="s">
        <v>4086</v>
      </c>
      <c r="D3131" s="795"/>
      <c r="E3131" s="795"/>
      <c r="F3131" s="732"/>
      <c r="G3131" s="728"/>
      <c r="H3131" s="677"/>
      <c r="S3131" s="670"/>
    </row>
    <row r="3132" spans="1:20">
      <c r="A3132" s="671"/>
      <c r="B3132" s="677"/>
      <c r="C3132" s="678">
        <v>122</v>
      </c>
      <c r="D3132" s="925" t="s">
        <v>4087</v>
      </c>
      <c r="E3132" s="795"/>
      <c r="F3132" s="733"/>
      <c r="G3132" s="734"/>
      <c r="H3132" s="672"/>
      <c r="S3132" s="670"/>
    </row>
    <row r="3133" spans="1:20">
      <c r="A3133" s="679">
        <v>3325100</v>
      </c>
      <c r="B3133" s="677"/>
      <c r="C3133" s="677"/>
      <c r="D3133" s="672" t="s">
        <v>759</v>
      </c>
      <c r="E3133" s="676" t="s">
        <v>12</v>
      </c>
      <c r="F3133" s="680" t="s">
        <v>4088</v>
      </c>
      <c r="G3133" s="678">
        <v>332</v>
      </c>
      <c r="H3133" s="684">
        <v>5100</v>
      </c>
      <c r="J3133" s="668" t="str">
        <f t="shared" ref="J3133:J3139" si="547">E3133</f>
        <v>Legal Services</v>
      </c>
      <c r="L3133" s="668">
        <v>98</v>
      </c>
      <c r="M3133" s="669">
        <v>93</v>
      </c>
      <c r="N3133" s="668"/>
      <c r="O3133" s="668">
        <v>25</v>
      </c>
      <c r="P3133" s="668" t="str">
        <f>IFERROR(VLOOKUP(F3133, [2]MOE!B:C, 2, FALSE), "No")</f>
        <v>No</v>
      </c>
      <c r="S3133" s="670" t="s">
        <v>4087</v>
      </c>
      <c r="T3133" s="668" t="s">
        <v>12</v>
      </c>
    </row>
    <row r="3134" spans="1:20">
      <c r="A3134" s="679">
        <v>3405100</v>
      </c>
      <c r="B3134" s="677"/>
      <c r="C3134" s="677"/>
      <c r="D3134" s="672" t="s">
        <v>777</v>
      </c>
      <c r="E3134" s="676" t="s">
        <v>4089</v>
      </c>
      <c r="F3134" s="680" t="s">
        <v>4090</v>
      </c>
      <c r="G3134" s="735">
        <v>340</v>
      </c>
      <c r="H3134" s="736">
        <v>5100</v>
      </c>
      <c r="J3134" s="668" t="str">
        <f t="shared" si="547"/>
        <v>Banking Services</v>
      </c>
      <c r="L3134" s="668">
        <v>101</v>
      </c>
      <c r="M3134" s="669">
        <v>96</v>
      </c>
      <c r="N3134" s="668"/>
      <c r="O3134" s="668">
        <v>25</v>
      </c>
      <c r="P3134" s="668" t="str">
        <f>IFERROR(VLOOKUP(F3134, [2]MOE!B:C, 2, FALSE), "No")</f>
        <v>No</v>
      </c>
      <c r="S3134" s="670" t="s">
        <v>4087</v>
      </c>
      <c r="T3134" s="668" t="s">
        <v>4089</v>
      </c>
    </row>
    <row r="3135" spans="1:20">
      <c r="A3135" s="679">
        <v>3005100</v>
      </c>
      <c r="B3135" s="677"/>
      <c r="C3135" s="677"/>
      <c r="D3135" s="672" t="s">
        <v>801</v>
      </c>
      <c r="E3135" s="676" t="s">
        <v>3870</v>
      </c>
      <c r="F3135" s="737" t="s">
        <v>4091</v>
      </c>
      <c r="G3135" s="735">
        <v>300</v>
      </c>
      <c r="H3135" s="736">
        <v>5100</v>
      </c>
      <c r="J3135" s="668" t="str">
        <f t="shared" si="547"/>
        <v>Other Purchased Professional &amp; Tech Svcs</v>
      </c>
      <c r="L3135" s="668">
        <v>101</v>
      </c>
      <c r="M3135" s="669">
        <v>96</v>
      </c>
      <c r="N3135" s="668"/>
      <c r="O3135" s="668">
        <v>25</v>
      </c>
      <c r="P3135" s="668" t="str">
        <f>IFERROR(VLOOKUP(F3135, [2]MOE!B:C, 2, FALSE), "No")</f>
        <v>No</v>
      </c>
      <c r="S3135" s="670" t="s">
        <v>4087</v>
      </c>
      <c r="T3135" s="668" t="s">
        <v>3870</v>
      </c>
    </row>
    <row r="3136" spans="1:20">
      <c r="A3136" s="679">
        <v>5005100</v>
      </c>
      <c r="B3136" s="677"/>
      <c r="C3136" s="677"/>
      <c r="D3136" s="672" t="s">
        <v>805</v>
      </c>
      <c r="E3136" s="676" t="s">
        <v>252</v>
      </c>
      <c r="F3136" s="737" t="s">
        <v>4092</v>
      </c>
      <c r="G3136" s="735">
        <v>500</v>
      </c>
      <c r="H3136" s="736">
        <v>5100</v>
      </c>
      <c r="J3136" s="668" t="str">
        <f t="shared" si="547"/>
        <v>Other Purchased Services</v>
      </c>
      <c r="L3136" s="668">
        <v>119</v>
      </c>
      <c r="M3136" s="669">
        <v>110</v>
      </c>
      <c r="N3136" s="668"/>
      <c r="O3136" s="668">
        <v>25</v>
      </c>
      <c r="P3136" s="668" t="str">
        <f>IFERROR(VLOOKUP(F3136, [2]MOE!B:C, 2, FALSE), "No")</f>
        <v>No</v>
      </c>
      <c r="S3136" s="670" t="s">
        <v>4087</v>
      </c>
      <c r="T3136" s="668" t="s">
        <v>252</v>
      </c>
    </row>
    <row r="3137" spans="1:20">
      <c r="A3137" s="679">
        <v>6005100</v>
      </c>
      <c r="B3137" s="677"/>
      <c r="C3137" s="677"/>
      <c r="D3137" s="672" t="s">
        <v>850</v>
      </c>
      <c r="E3137" s="676" t="s">
        <v>254</v>
      </c>
      <c r="F3137" s="737" t="s">
        <v>4093</v>
      </c>
      <c r="G3137" s="735">
        <v>600</v>
      </c>
      <c r="H3137" s="736">
        <v>5100</v>
      </c>
      <c r="J3137" s="668" t="str">
        <f t="shared" si="547"/>
        <v>Supplies</v>
      </c>
      <c r="L3137" s="668">
        <v>126</v>
      </c>
      <c r="M3137" s="669">
        <v>117</v>
      </c>
      <c r="N3137" s="668"/>
      <c r="O3137" s="668">
        <v>25</v>
      </c>
      <c r="P3137" s="668" t="str">
        <f>IFERROR(VLOOKUP(F3137, [2]MOE!B:C, 2, FALSE), "No")</f>
        <v>No</v>
      </c>
      <c r="S3137" s="670" t="s">
        <v>4087</v>
      </c>
      <c r="T3137" s="668" t="s">
        <v>254</v>
      </c>
    </row>
    <row r="3138" spans="1:20">
      <c r="A3138" s="679">
        <v>8325100</v>
      </c>
      <c r="B3138" s="677"/>
      <c r="C3138" s="677"/>
      <c r="D3138" s="672" t="s">
        <v>853</v>
      </c>
      <c r="E3138" s="676" t="s">
        <v>4094</v>
      </c>
      <c r="F3138" s="737" t="s">
        <v>4095</v>
      </c>
      <c r="G3138" s="735">
        <v>832</v>
      </c>
      <c r="H3138" s="736">
        <v>5100</v>
      </c>
      <c r="J3138" s="668" t="str">
        <f t="shared" si="547"/>
        <v>Interest (long-term)</v>
      </c>
      <c r="L3138" s="668">
        <v>137</v>
      </c>
      <c r="M3138" s="669">
        <v>127</v>
      </c>
      <c r="N3138" s="668"/>
      <c r="O3138" s="668">
        <v>25</v>
      </c>
      <c r="P3138" s="668" t="str">
        <f>IFERROR(VLOOKUP(F3138, [2]MOE!B:C, 2, FALSE), "No")</f>
        <v>No</v>
      </c>
      <c r="S3138" s="670" t="s">
        <v>4087</v>
      </c>
      <c r="T3138" s="668" t="s">
        <v>4094</v>
      </c>
    </row>
    <row r="3139" spans="1:20">
      <c r="A3139" s="679">
        <v>8315100</v>
      </c>
      <c r="B3139" s="677"/>
      <c r="C3139" s="677"/>
      <c r="D3139" s="672" t="s">
        <v>856</v>
      </c>
      <c r="E3139" s="676" t="s">
        <v>4096</v>
      </c>
      <c r="F3139" s="737" t="s">
        <v>4097</v>
      </c>
      <c r="G3139" s="735">
        <v>831</v>
      </c>
      <c r="H3139" s="736">
        <v>5100</v>
      </c>
      <c r="J3139" s="668" t="str">
        <f t="shared" si="547"/>
        <v>Redemption of Principal</v>
      </c>
      <c r="L3139" s="668">
        <v>138</v>
      </c>
      <c r="M3139" s="669">
        <v>128</v>
      </c>
      <c r="N3139" s="668"/>
      <c r="O3139" s="668">
        <v>25</v>
      </c>
      <c r="P3139" s="668" t="str">
        <f>IFERROR(VLOOKUP(F3139, [2]MOE!B:C, 2, FALSE), "No")</f>
        <v>No</v>
      </c>
      <c r="S3139" s="670" t="s">
        <v>4087</v>
      </c>
      <c r="T3139" s="668" t="s">
        <v>4096</v>
      </c>
    </row>
    <row r="3140" spans="1:20">
      <c r="A3140" s="671"/>
      <c r="B3140" s="677"/>
      <c r="C3140" s="677"/>
      <c r="D3140" s="672" t="s">
        <v>859</v>
      </c>
      <c r="E3140" s="676" t="s">
        <v>4098</v>
      </c>
      <c r="F3140" s="733"/>
      <c r="G3140" s="734"/>
      <c r="H3140" s="672"/>
      <c r="S3140" s="670"/>
    </row>
    <row r="3141" spans="1:20">
      <c r="A3141" s="679">
        <v>8005100</v>
      </c>
      <c r="B3141" s="677"/>
      <c r="C3141" s="677"/>
      <c r="D3141" s="672"/>
      <c r="E3141" s="676" t="s">
        <v>4099</v>
      </c>
      <c r="F3141" s="737" t="s">
        <v>4100</v>
      </c>
      <c r="G3141" s="735">
        <v>800</v>
      </c>
      <c r="H3141" s="736">
        <v>5100</v>
      </c>
      <c r="J3141" s="668" t="str">
        <f t="shared" ref="J3141:J3143" si="548">E3141</f>
        <v>Bond Issuance &amp; Other Costs)</v>
      </c>
      <c r="L3141" s="668">
        <v>139</v>
      </c>
      <c r="M3141" s="669">
        <v>129</v>
      </c>
      <c r="N3141" s="668"/>
      <c r="O3141" s="668">
        <v>25</v>
      </c>
      <c r="P3141" s="668" t="str">
        <f>IFERROR(VLOOKUP(F3141, [2]MOE!B:C, 2, FALSE), "No")</f>
        <v>No</v>
      </c>
      <c r="S3141" s="670" t="s">
        <v>4087</v>
      </c>
      <c r="T3141" s="668" t="s">
        <v>4099</v>
      </c>
    </row>
    <row r="3142" spans="1:20">
      <c r="A3142" s="679">
        <v>9155100</v>
      </c>
      <c r="B3142" s="677"/>
      <c r="C3142" s="677"/>
      <c r="D3142" s="672" t="s">
        <v>862</v>
      </c>
      <c r="E3142" s="676" t="s">
        <v>4101</v>
      </c>
      <c r="F3142" s="737" t="s">
        <v>4102</v>
      </c>
      <c r="G3142" s="735">
        <v>915</v>
      </c>
      <c r="H3142" s="736">
        <v>5100</v>
      </c>
      <c r="J3142" s="668" t="str">
        <f t="shared" si="548"/>
        <v>Pay Escrow Agents For Defeasance of Debt</v>
      </c>
      <c r="L3142" s="668">
        <v>143</v>
      </c>
      <c r="M3142" s="669">
        <v>134</v>
      </c>
      <c r="N3142" s="668"/>
      <c r="O3142" s="668">
        <v>25</v>
      </c>
      <c r="P3142" s="668" t="str">
        <f>IFERROR(VLOOKUP(F3142, [2]MOE!B:C, 2, FALSE), "No")</f>
        <v>No</v>
      </c>
      <c r="S3142" s="670" t="s">
        <v>4087</v>
      </c>
      <c r="T3142" s="668" t="s">
        <v>4101</v>
      </c>
    </row>
    <row r="3143" spans="1:20" ht="16" thickBot="1">
      <c r="A3143" s="679">
        <v>9005100</v>
      </c>
      <c r="B3143" s="677"/>
      <c r="C3143" s="677"/>
      <c r="D3143" s="672" t="s">
        <v>1091</v>
      </c>
      <c r="E3143" s="676" t="s">
        <v>723</v>
      </c>
      <c r="F3143" s="737" t="s">
        <v>4103</v>
      </c>
      <c r="G3143" s="735">
        <v>900</v>
      </c>
      <c r="H3143" s="736">
        <v>5100</v>
      </c>
      <c r="J3143" s="668" t="str">
        <f t="shared" si="548"/>
        <v>Other Uses of Funds</v>
      </c>
      <c r="L3143" s="668">
        <v>143</v>
      </c>
      <c r="M3143" s="669">
        <v>134</v>
      </c>
      <c r="N3143" s="668"/>
      <c r="O3143" s="668">
        <v>25</v>
      </c>
      <c r="P3143" s="668" t="str">
        <f>IFERROR(VLOOKUP(F3143, [2]MOE!B:C, 2, FALSE), "No")</f>
        <v>No</v>
      </c>
      <c r="S3143" s="670" t="s">
        <v>4087</v>
      </c>
      <c r="T3143" s="668" t="s">
        <v>723</v>
      </c>
    </row>
    <row r="3144" spans="1:20" ht="16.5" thickTop="1" thickBot="1">
      <c r="A3144" s="671"/>
      <c r="B3144" s="738" t="s">
        <v>4104</v>
      </c>
      <c r="C3144" s="706"/>
      <c r="D3144" s="706"/>
      <c r="E3144" s="707"/>
      <c r="F3144" s="709" t="s">
        <v>639</v>
      </c>
      <c r="G3144" s="663"/>
      <c r="H3144" s="664"/>
      <c r="S3144" s="670"/>
    </row>
    <row r="3145" spans="1:20" ht="16.5" thickTop="1" thickBot="1">
      <c r="A3145" s="671"/>
      <c r="B3145" s="706" t="s">
        <v>4105</v>
      </c>
      <c r="C3145" s="663"/>
      <c r="D3145" s="716"/>
      <c r="E3145" s="664"/>
      <c r="F3145" s="709" t="s">
        <v>722</v>
      </c>
      <c r="G3145" s="663"/>
      <c r="H3145" s="664"/>
      <c r="S3145" s="670"/>
    </row>
    <row r="3146" spans="1:20" ht="16" thickTop="1">
      <c r="A3146" s="671"/>
      <c r="B3146" s="677"/>
      <c r="C3146" s="677"/>
      <c r="D3146" s="672"/>
      <c r="E3146" s="676"/>
      <c r="F3146" s="675"/>
      <c r="G3146" s="672"/>
      <c r="H3146" s="676"/>
      <c r="S3146" s="670"/>
    </row>
    <row r="3147" spans="1:20">
      <c r="A3147" s="671"/>
      <c r="B3147" s="677" t="s">
        <v>4106</v>
      </c>
      <c r="C3147" s="921" t="s">
        <v>4107</v>
      </c>
      <c r="D3147" s="795"/>
      <c r="E3147" s="926"/>
      <c r="F3147" s="675"/>
      <c r="G3147" s="672"/>
      <c r="H3147" s="676"/>
      <c r="S3147" s="670"/>
    </row>
    <row r="3148" spans="1:20">
      <c r="A3148" s="671"/>
      <c r="B3148" s="677" t="s">
        <v>1001</v>
      </c>
      <c r="C3148" s="921" t="s">
        <v>674</v>
      </c>
      <c r="D3148" s="795"/>
      <c r="E3148" s="926"/>
      <c r="F3148" s="675"/>
      <c r="G3148" s="672"/>
      <c r="H3148" s="676"/>
      <c r="S3148" s="670"/>
    </row>
    <row r="3149" spans="1:20">
      <c r="A3149" s="671"/>
      <c r="B3149" s="672"/>
      <c r="C3149" s="678">
        <v>123</v>
      </c>
      <c r="D3149" s="927" t="s">
        <v>4108</v>
      </c>
      <c r="E3149" s="926"/>
      <c r="F3149" s="675"/>
      <c r="G3149" s="672"/>
      <c r="H3149" s="676"/>
      <c r="S3149" s="670"/>
    </row>
    <row r="3150" spans="1:20">
      <c r="A3150" s="679">
        <v>5110</v>
      </c>
      <c r="B3150" s="672"/>
      <c r="C3150" s="672"/>
      <c r="D3150" s="672" t="s">
        <v>759</v>
      </c>
      <c r="E3150" s="676" t="s">
        <v>4109</v>
      </c>
      <c r="F3150" s="680" t="s">
        <v>4110</v>
      </c>
      <c r="G3150" s="681"/>
      <c r="H3150" s="682">
        <v>5110</v>
      </c>
      <c r="J3150" s="668" t="str">
        <f t="shared" ref="J3150:J3151" si="549">E3150</f>
        <v>Bond Principal</v>
      </c>
      <c r="L3150" s="668">
        <v>144</v>
      </c>
      <c r="M3150" s="669">
        <v>134</v>
      </c>
      <c r="S3150" s="670" t="s">
        <v>4108</v>
      </c>
      <c r="T3150" s="668" t="s">
        <v>4109</v>
      </c>
    </row>
    <row r="3151" spans="1:20">
      <c r="A3151" s="679">
        <v>5120</v>
      </c>
      <c r="B3151" s="672"/>
      <c r="C3151" s="672"/>
      <c r="D3151" s="672" t="s">
        <v>777</v>
      </c>
      <c r="E3151" s="676" t="s">
        <v>4111</v>
      </c>
      <c r="F3151" s="680" t="s">
        <v>4112</v>
      </c>
      <c r="G3151" s="681"/>
      <c r="H3151" s="682">
        <v>5120</v>
      </c>
      <c r="J3151" s="668" t="str">
        <f t="shared" si="549"/>
        <v>Accrued Interest &amp; Premiums on Bonds Sold</v>
      </c>
      <c r="L3151" s="668">
        <v>143</v>
      </c>
      <c r="M3151" s="669">
        <v>134</v>
      </c>
      <c r="S3151" s="670" t="s">
        <v>4108</v>
      </c>
      <c r="T3151" s="668" t="s">
        <v>4111</v>
      </c>
    </row>
    <row r="3152" spans="1:20">
      <c r="A3152" s="671"/>
      <c r="B3152" s="672"/>
      <c r="C3152" s="678">
        <v>124</v>
      </c>
      <c r="D3152" s="925" t="s">
        <v>4113</v>
      </c>
      <c r="E3152" s="926"/>
      <c r="F3152" s="675"/>
      <c r="G3152" s="672"/>
      <c r="H3152" s="676"/>
      <c r="S3152" s="670"/>
    </row>
    <row r="3153" spans="1:20">
      <c r="A3153" s="679">
        <v>5210</v>
      </c>
      <c r="B3153" s="672"/>
      <c r="C3153" s="672"/>
      <c r="D3153" s="672" t="s">
        <v>759</v>
      </c>
      <c r="E3153" s="676" t="s">
        <v>4114</v>
      </c>
      <c r="F3153" s="680" t="s">
        <v>4115</v>
      </c>
      <c r="G3153" s="681"/>
      <c r="H3153" s="682">
        <v>5210</v>
      </c>
      <c r="J3153" s="668" t="str">
        <f t="shared" ref="J3153:J3154" si="550">E3153</f>
        <v>Transfers of Indirect Cost</v>
      </c>
      <c r="L3153" s="668">
        <v>142</v>
      </c>
      <c r="M3153" s="669">
        <v>133</v>
      </c>
      <c r="S3153" s="670" t="s">
        <v>4113</v>
      </c>
      <c r="T3153" s="668" t="s">
        <v>4114</v>
      </c>
    </row>
    <row r="3154" spans="1:20">
      <c r="A3154" s="679">
        <v>5220</v>
      </c>
      <c r="B3154" s="672"/>
      <c r="C3154" s="672"/>
      <c r="D3154" s="672" t="s">
        <v>777</v>
      </c>
      <c r="E3154" s="676" t="s">
        <v>4116</v>
      </c>
      <c r="F3154" s="680" t="s">
        <v>4117</v>
      </c>
      <c r="G3154" s="681"/>
      <c r="H3154" s="682">
        <v>5220</v>
      </c>
      <c r="J3154" s="668" t="str">
        <f t="shared" si="550"/>
        <v>Operating Transfers In</v>
      </c>
      <c r="L3154" s="668">
        <v>143</v>
      </c>
      <c r="M3154" s="669">
        <v>134</v>
      </c>
      <c r="S3154" s="670" t="s">
        <v>4113</v>
      </c>
      <c r="T3154" s="668" t="s">
        <v>4116</v>
      </c>
    </row>
    <row r="3155" spans="1:20">
      <c r="A3155" s="679">
        <v>5300</v>
      </c>
      <c r="B3155" s="672"/>
      <c r="C3155" s="678">
        <v>125</v>
      </c>
      <c r="D3155" s="925" t="s">
        <v>4118</v>
      </c>
      <c r="E3155" s="926"/>
      <c r="F3155" s="680" t="s">
        <v>4119</v>
      </c>
      <c r="G3155" s="681"/>
      <c r="H3155" s="682">
        <v>5300</v>
      </c>
      <c r="J3155" s="668" t="str">
        <f t="shared" ref="J3155:J3157" si="551">D3155</f>
        <v>Proceeds - Disposal Of Real/Personal Prop</v>
      </c>
      <c r="L3155" s="668">
        <v>143</v>
      </c>
      <c r="M3155" s="669">
        <v>134</v>
      </c>
      <c r="S3155" s="670" t="s">
        <v>4120</v>
      </c>
      <c r="T3155" s="668" t="s">
        <v>4118</v>
      </c>
    </row>
    <row r="3156" spans="1:20">
      <c r="A3156" s="679">
        <v>5400</v>
      </c>
      <c r="B3156" s="672"/>
      <c r="C3156" s="678">
        <v>126</v>
      </c>
      <c r="D3156" s="927" t="s">
        <v>4121</v>
      </c>
      <c r="E3156" s="926"/>
      <c r="F3156" s="680" t="s">
        <v>4122</v>
      </c>
      <c r="G3156" s="681"/>
      <c r="H3156" s="682">
        <v>5400</v>
      </c>
      <c r="J3156" s="668" t="str">
        <f t="shared" si="551"/>
        <v>Loan Proceeds</v>
      </c>
      <c r="L3156" s="668">
        <v>143</v>
      </c>
      <c r="M3156" s="669">
        <v>134</v>
      </c>
      <c r="S3156" s="670" t="s">
        <v>4120</v>
      </c>
      <c r="T3156" s="668" t="s">
        <v>4121</v>
      </c>
    </row>
    <row r="3157" spans="1:20" ht="16" thickBot="1">
      <c r="A3157" s="679">
        <v>5500</v>
      </c>
      <c r="B3157" s="672"/>
      <c r="C3157" s="678">
        <v>127</v>
      </c>
      <c r="D3157" s="927" t="s">
        <v>4123</v>
      </c>
      <c r="E3157" s="926"/>
      <c r="F3157" s="680" t="s">
        <v>4124</v>
      </c>
      <c r="G3157" s="681"/>
      <c r="H3157" s="682">
        <v>5500</v>
      </c>
      <c r="J3157" s="668" t="str">
        <f t="shared" si="551"/>
        <v>Capital Lease Proceeds</v>
      </c>
      <c r="L3157" s="668">
        <v>143</v>
      </c>
      <c r="M3157" s="669">
        <v>134</v>
      </c>
      <c r="S3157" s="670" t="s">
        <v>4120</v>
      </c>
      <c r="T3157" s="668" t="s">
        <v>4123</v>
      </c>
    </row>
    <row r="3158" spans="1:20" ht="16.5" thickTop="1" thickBot="1">
      <c r="A3158" s="671"/>
      <c r="B3158" s="931" t="s">
        <v>4125</v>
      </c>
      <c r="C3158" s="930"/>
      <c r="D3158" s="930"/>
      <c r="E3158" s="932"/>
      <c r="F3158" s="705" t="s">
        <v>676</v>
      </c>
      <c r="G3158" s="739"/>
      <c r="H3158" s="740"/>
      <c r="S3158" s="670"/>
    </row>
    <row r="3159" spans="1:20" ht="16" thickTop="1">
      <c r="A3159" s="671"/>
      <c r="B3159" s="677" t="s">
        <v>1095</v>
      </c>
      <c r="C3159" s="921" t="s">
        <v>723</v>
      </c>
      <c r="D3159" s="795"/>
      <c r="E3159" s="926"/>
      <c r="F3159" s="675"/>
      <c r="G3159" s="672"/>
      <c r="H3159" s="676"/>
      <c r="S3159" s="670"/>
    </row>
    <row r="3160" spans="1:20">
      <c r="A3160" s="671"/>
      <c r="B3160" s="677"/>
      <c r="C3160" s="678">
        <v>128</v>
      </c>
      <c r="D3160" s="927" t="s">
        <v>4126</v>
      </c>
      <c r="E3160" s="926"/>
      <c r="F3160" s="675"/>
      <c r="G3160" s="672"/>
      <c r="H3160" s="676"/>
      <c r="S3160" s="670"/>
    </row>
    <row r="3161" spans="1:20">
      <c r="A3161" s="679">
        <v>9325200</v>
      </c>
      <c r="B3161" s="672"/>
      <c r="C3161" s="672"/>
      <c r="D3161" s="672" t="s">
        <v>759</v>
      </c>
      <c r="E3161" s="676" t="s">
        <v>4127</v>
      </c>
      <c r="F3161" s="683" t="s">
        <v>4128</v>
      </c>
      <c r="G3161" s="678">
        <v>932</v>
      </c>
      <c r="H3161" s="684">
        <v>5200</v>
      </c>
      <c r="J3161" s="668" t="str">
        <f t="shared" ref="J3161:J3164" si="552">E3161</f>
        <v>Operating Transfers Out</v>
      </c>
      <c r="L3161" s="668">
        <v>143</v>
      </c>
      <c r="M3161" s="669">
        <v>134</v>
      </c>
      <c r="N3161" s="668"/>
      <c r="O3161" s="668">
        <v>26</v>
      </c>
      <c r="P3161" s="668" t="str">
        <f>IFERROR(VLOOKUP(F3161, [2]MOE!B:C, 2, FALSE), "No")</f>
        <v>No</v>
      </c>
      <c r="S3161" s="670" t="s">
        <v>4126</v>
      </c>
      <c r="T3161" s="668" t="s">
        <v>4127</v>
      </c>
    </row>
    <row r="3162" spans="1:20">
      <c r="A3162" s="679">
        <v>9335200</v>
      </c>
      <c r="B3162" s="672"/>
      <c r="C3162" s="672"/>
      <c r="D3162" s="672" t="s">
        <v>777</v>
      </c>
      <c r="E3162" s="676" t="s">
        <v>20</v>
      </c>
      <c r="F3162" s="737" t="s">
        <v>4129</v>
      </c>
      <c r="G3162" s="735">
        <v>933</v>
      </c>
      <c r="H3162" s="736">
        <v>5200</v>
      </c>
      <c r="J3162" s="668" t="str">
        <f t="shared" si="552"/>
        <v>Indirect Costs</v>
      </c>
      <c r="L3162" s="668">
        <v>142</v>
      </c>
      <c r="M3162" s="669">
        <v>133</v>
      </c>
      <c r="N3162" s="668"/>
      <c r="O3162" s="668">
        <v>26</v>
      </c>
      <c r="P3162" s="668" t="str">
        <f>IFERROR(VLOOKUP(F3162, [2]MOE!B:C, 2, FALSE), "No")</f>
        <v>No</v>
      </c>
      <c r="S3162" s="670" t="s">
        <v>4126</v>
      </c>
      <c r="T3162" s="668" t="s">
        <v>20</v>
      </c>
    </row>
    <row r="3163" spans="1:20">
      <c r="A3163" s="679">
        <v>8905200</v>
      </c>
      <c r="B3163" s="672"/>
      <c r="C3163" s="672"/>
      <c r="D3163" s="672" t="s">
        <v>801</v>
      </c>
      <c r="E3163" s="676" t="s">
        <v>4130</v>
      </c>
      <c r="F3163" s="737" t="s">
        <v>4131</v>
      </c>
      <c r="G3163" s="735">
        <v>890</v>
      </c>
      <c r="H3163" s="736">
        <v>5200</v>
      </c>
      <c r="J3163" s="668" t="str">
        <f t="shared" si="552"/>
        <v>Miscellaneous Transfers</v>
      </c>
      <c r="L3163" s="668">
        <v>139</v>
      </c>
      <c r="M3163" s="669">
        <v>129</v>
      </c>
      <c r="N3163" s="668"/>
      <c r="O3163" s="668">
        <v>26</v>
      </c>
      <c r="P3163" s="668" t="str">
        <f>IFERROR(VLOOKUP(F3163, [2]MOE!B:C, 2, FALSE), "No")</f>
        <v>No</v>
      </c>
      <c r="S3163" s="670" t="s">
        <v>4126</v>
      </c>
      <c r="T3163" s="668" t="s">
        <v>4130</v>
      </c>
    </row>
    <row r="3164" spans="1:20" ht="16" thickBot="1">
      <c r="A3164" s="679">
        <v>9405300</v>
      </c>
      <c r="B3164" s="672"/>
      <c r="C3164" s="672"/>
      <c r="D3164" s="672" t="s">
        <v>805</v>
      </c>
      <c r="E3164" s="676" t="s">
        <v>4132</v>
      </c>
      <c r="F3164" s="737" t="s">
        <v>4133</v>
      </c>
      <c r="G3164" s="735">
        <v>940</v>
      </c>
      <c r="H3164" s="736">
        <v>5300</v>
      </c>
      <c r="J3164" s="668" t="str">
        <f t="shared" si="552"/>
        <v>Local Revenue Transfers - Charter Schools</v>
      </c>
      <c r="L3164" s="668">
        <v>143</v>
      </c>
      <c r="M3164" s="669">
        <v>134</v>
      </c>
      <c r="S3164" s="670" t="s">
        <v>4126</v>
      </c>
      <c r="T3164" s="668" t="s">
        <v>4132</v>
      </c>
    </row>
    <row r="3165" spans="1:20" ht="16.5" thickTop="1" thickBot="1">
      <c r="A3165" s="671"/>
      <c r="B3165" s="931" t="s">
        <v>4134</v>
      </c>
      <c r="C3165" s="930"/>
      <c r="D3165" s="930"/>
      <c r="E3165" s="932"/>
      <c r="F3165" s="705" t="s">
        <v>640</v>
      </c>
      <c r="G3165" s="739"/>
      <c r="H3165" s="740"/>
      <c r="S3165" s="670"/>
    </row>
    <row r="3166" spans="1:20" ht="16.5" thickTop="1" thickBot="1">
      <c r="A3166" s="671"/>
      <c r="B3166" s="931" t="s">
        <v>4135</v>
      </c>
      <c r="C3166" s="930"/>
      <c r="D3166" s="930"/>
      <c r="E3166" s="932"/>
      <c r="F3166" s="705" t="s">
        <v>4136</v>
      </c>
      <c r="G3166" s="716"/>
      <c r="H3166" s="741"/>
      <c r="S3166" s="670"/>
    </row>
    <row r="3167" spans="1:20" ht="16" thickTop="1">
      <c r="A3167" s="671"/>
      <c r="B3167" s="672"/>
      <c r="C3167" s="672"/>
      <c r="D3167" s="672"/>
      <c r="E3167" s="676"/>
      <c r="F3167" s="675"/>
      <c r="G3167" s="672"/>
      <c r="H3167" s="676"/>
      <c r="S3167" s="670"/>
    </row>
    <row r="3168" spans="1:20">
      <c r="A3168" s="671"/>
      <c r="B3168" s="937" t="s">
        <v>4137</v>
      </c>
      <c r="C3168" s="795"/>
      <c r="D3168" s="795"/>
      <c r="E3168" s="926"/>
      <c r="F3168" s="675"/>
      <c r="G3168" s="672"/>
      <c r="H3168" s="676"/>
      <c r="S3168" s="670"/>
    </row>
    <row r="3169" spans="1:20">
      <c r="A3169" s="671"/>
      <c r="B3169" s="672"/>
      <c r="C3169" s="678">
        <v>129</v>
      </c>
      <c r="D3169" s="927" t="s">
        <v>4138</v>
      </c>
      <c r="E3169" s="926"/>
      <c r="F3169" s="675"/>
      <c r="G3169" s="672"/>
      <c r="H3169" s="676"/>
      <c r="S3169" s="670"/>
    </row>
    <row r="3170" spans="1:20">
      <c r="A3170" s="671"/>
      <c r="B3170" s="672"/>
      <c r="C3170" s="672"/>
      <c r="D3170" s="927" t="s">
        <v>4139</v>
      </c>
      <c r="E3170" s="926"/>
      <c r="F3170" s="675"/>
      <c r="G3170" s="672"/>
      <c r="H3170" s="676"/>
      <c r="S3170" s="670"/>
    </row>
    <row r="3171" spans="1:20">
      <c r="A3171" s="671"/>
      <c r="B3171" s="672"/>
      <c r="C3171" s="672"/>
      <c r="D3171" s="927" t="s">
        <v>4140</v>
      </c>
      <c r="E3171" s="926"/>
      <c r="F3171" s="680" t="s">
        <v>728</v>
      </c>
      <c r="G3171" s="939" t="s">
        <v>4141</v>
      </c>
      <c r="H3171" s="940"/>
      <c r="S3171" s="670"/>
    </row>
    <row r="3172" spans="1:20">
      <c r="A3172" s="671"/>
      <c r="B3172" s="672"/>
      <c r="C3172" s="678">
        <v>130</v>
      </c>
      <c r="D3172" s="927" t="s">
        <v>4142</v>
      </c>
      <c r="E3172" s="926"/>
      <c r="F3172" s="680" t="s">
        <v>730</v>
      </c>
      <c r="G3172" s="681"/>
      <c r="H3172" s="686"/>
      <c r="S3172" s="670"/>
    </row>
    <row r="3173" spans="1:20">
      <c r="A3173" s="671"/>
      <c r="B3173" s="672"/>
      <c r="C3173" s="678">
        <v>131</v>
      </c>
      <c r="D3173" s="927" t="s">
        <v>4143</v>
      </c>
      <c r="E3173" s="926"/>
      <c r="F3173" s="680" t="s">
        <v>732</v>
      </c>
      <c r="G3173" s="681"/>
      <c r="H3173" s="686"/>
      <c r="S3173" s="670"/>
    </row>
    <row r="3174" spans="1:20">
      <c r="A3174" s="671"/>
      <c r="B3174" s="672"/>
      <c r="C3174" s="678">
        <v>132</v>
      </c>
      <c r="D3174" s="927" t="s">
        <v>4144</v>
      </c>
      <c r="E3174" s="926"/>
      <c r="F3174" s="680" t="s">
        <v>734</v>
      </c>
      <c r="G3174" s="681"/>
      <c r="H3174" s="686"/>
      <c r="S3174" s="670"/>
    </row>
    <row r="3175" spans="1:20">
      <c r="A3175" s="671"/>
      <c r="B3175" s="672"/>
      <c r="C3175" s="678">
        <v>133</v>
      </c>
      <c r="D3175" s="927" t="s">
        <v>4145</v>
      </c>
      <c r="E3175" s="926"/>
      <c r="F3175" s="680" t="s">
        <v>736</v>
      </c>
      <c r="G3175" s="681"/>
      <c r="H3175" s="686"/>
      <c r="S3175" s="670"/>
    </row>
    <row r="3176" spans="1:20" ht="16" thickBot="1">
      <c r="A3176" s="671"/>
      <c r="B3176" s="716"/>
      <c r="C3176" s="742">
        <v>134</v>
      </c>
      <c r="D3176" s="933" t="s">
        <v>4146</v>
      </c>
      <c r="E3176" s="934"/>
      <c r="F3176" s="743" t="s">
        <v>738</v>
      </c>
      <c r="G3176" s="938" t="s">
        <v>4141</v>
      </c>
      <c r="H3176" s="934"/>
      <c r="S3176" s="670"/>
    </row>
    <row r="3177" spans="1:20" ht="16" thickTop="1">
      <c r="A3177" s="692">
        <v>5402400</v>
      </c>
      <c r="B3177" s="693"/>
      <c r="C3177" s="693"/>
      <c r="D3177" s="693"/>
      <c r="E3177" s="694" t="s">
        <v>4147</v>
      </c>
      <c r="F3177" s="744" t="s">
        <v>3166</v>
      </c>
      <c r="G3177" s="745">
        <v>500</v>
      </c>
      <c r="H3177" s="697">
        <v>2400</v>
      </c>
      <c r="I3177" s="695"/>
      <c r="J3177" s="695" t="str">
        <f t="shared" ref="J3177:J3188" si="553">E3177</f>
        <v>EQA Custom Account</v>
      </c>
      <c r="K3177" s="695"/>
      <c r="L3177" s="695">
        <v>119</v>
      </c>
      <c r="M3177" s="695">
        <v>110</v>
      </c>
      <c r="N3177" s="695"/>
      <c r="O3177" s="695">
        <v>16</v>
      </c>
      <c r="P3177" s="695" t="str">
        <f>IFERROR(VLOOKUP(F3177, [2]MOE!B:C, 2, FALSE), "No")</f>
        <v>No</v>
      </c>
      <c r="Q3177" s="746"/>
      <c r="R3177" s="695"/>
      <c r="S3177" s="695" t="s">
        <v>700</v>
      </c>
      <c r="T3177" s="695" t="s">
        <v>252</v>
      </c>
    </row>
    <row r="3178" spans="1:20">
      <c r="A3178" s="692">
        <v>9999999</v>
      </c>
      <c r="B3178" s="693"/>
      <c r="C3178" s="693"/>
      <c r="D3178" s="693"/>
      <c r="E3178" s="694" t="s">
        <v>4148</v>
      </c>
      <c r="F3178" s="744" t="s">
        <v>3178</v>
      </c>
      <c r="G3178" s="747">
        <v>800</v>
      </c>
      <c r="H3178" s="744">
        <v>2400</v>
      </c>
      <c r="I3178" s="695"/>
      <c r="J3178" s="695" t="str">
        <f t="shared" si="553"/>
        <v>Uncategorized Expenses</v>
      </c>
      <c r="K3178" s="668" t="s">
        <v>843</v>
      </c>
      <c r="L3178" s="668">
        <v>139</v>
      </c>
      <c r="M3178" s="669">
        <v>129</v>
      </c>
      <c r="N3178" s="668"/>
      <c r="O3178" s="668">
        <v>16</v>
      </c>
      <c r="P3178" s="668" t="str">
        <f>IFERROR(VLOOKUP(F3178, [2]MOE!B:C, 2, FALSE), "No")</f>
        <v>No</v>
      </c>
      <c r="S3178" s="670" t="s">
        <v>700</v>
      </c>
      <c r="T3178" s="668" t="s">
        <v>1063</v>
      </c>
    </row>
    <row r="3179" spans="1:20">
      <c r="A3179" s="748">
        <v>8952420</v>
      </c>
      <c r="B3179" s="695"/>
      <c r="C3179" s="693"/>
      <c r="D3179" s="693"/>
      <c r="E3179" s="749" t="s">
        <v>4149</v>
      </c>
      <c r="F3179" s="744" t="s">
        <v>3409</v>
      </c>
      <c r="G3179" s="695">
        <v>895</v>
      </c>
      <c r="H3179" s="750">
        <v>2420</v>
      </c>
      <c r="I3179" s="695"/>
      <c r="J3179" s="695" t="str">
        <f t="shared" si="553"/>
        <v>Non-Cash Lease Expense</v>
      </c>
      <c r="K3179" s="668" t="s">
        <v>843</v>
      </c>
      <c r="L3179" s="668">
        <v>105</v>
      </c>
      <c r="M3179" s="669">
        <v>100</v>
      </c>
      <c r="N3179" s="668"/>
      <c r="O3179" s="668">
        <v>18</v>
      </c>
      <c r="P3179" s="668" t="str">
        <f>IFERROR(VLOOKUP(F3179, [2]MOE!B:C, 2, FALSE), "No")</f>
        <v>No</v>
      </c>
      <c r="S3179" s="670" t="s">
        <v>3382</v>
      </c>
      <c r="T3179" s="668" t="s">
        <v>3410</v>
      </c>
    </row>
    <row r="3180" spans="1:20">
      <c r="A3180" s="748">
        <v>8952421</v>
      </c>
      <c r="B3180" s="695"/>
      <c r="C3180" s="693"/>
      <c r="D3180" s="693"/>
      <c r="E3180" s="749" t="s">
        <v>4150</v>
      </c>
      <c r="F3180" s="744" t="s">
        <v>3409</v>
      </c>
      <c r="G3180" s="695">
        <v>895</v>
      </c>
      <c r="H3180" s="750">
        <v>2421</v>
      </c>
      <c r="I3180" s="695"/>
      <c r="J3180" s="695" t="str">
        <f t="shared" si="553"/>
        <v>Lease Interest Expense</v>
      </c>
      <c r="K3180" s="668" t="s">
        <v>843</v>
      </c>
      <c r="L3180" s="668">
        <v>105</v>
      </c>
      <c r="M3180" s="669">
        <v>100</v>
      </c>
      <c r="N3180" s="668"/>
      <c r="O3180" s="668">
        <v>18</v>
      </c>
      <c r="P3180" s="668" t="str">
        <f>IFERROR(VLOOKUP(F3180, [2]MOE!B:C, 2, FALSE), "No")</f>
        <v>No</v>
      </c>
      <c r="S3180" s="670" t="s">
        <v>3382</v>
      </c>
      <c r="T3180" s="668" t="s">
        <v>3410</v>
      </c>
    </row>
    <row r="3181" spans="1:20">
      <c r="A3181" s="751">
        <v>1151105</v>
      </c>
      <c r="B3181" s="750" t="s">
        <v>4151</v>
      </c>
      <c r="C3181" s="693"/>
      <c r="D3181" s="693" t="s">
        <v>805</v>
      </c>
      <c r="E3181" s="752" t="s">
        <v>1011</v>
      </c>
      <c r="F3181" s="744" t="s">
        <v>1012</v>
      </c>
      <c r="G3181" s="745">
        <v>115</v>
      </c>
      <c r="H3181" s="697">
        <v>1100</v>
      </c>
      <c r="I3181" s="695"/>
      <c r="J3181" s="695" t="str">
        <f t="shared" si="553"/>
        <v>Aides</v>
      </c>
      <c r="L3181" s="668">
        <v>86</v>
      </c>
      <c r="M3181" s="669">
        <v>81</v>
      </c>
      <c r="N3181" s="668"/>
      <c r="O3181" s="668">
        <v>7</v>
      </c>
      <c r="P3181" s="668" t="str">
        <f>IFERROR(VLOOKUP(F3181, [2]MOE!B:C, 2, FALSE), "No")</f>
        <v>No</v>
      </c>
      <c r="Q3181" s="711" t="s">
        <v>1004</v>
      </c>
      <c r="S3181" s="670" t="s">
        <v>1006</v>
      </c>
      <c r="T3181" s="668" t="s">
        <v>1011</v>
      </c>
    </row>
    <row r="3182" spans="1:20">
      <c r="A3182" s="751">
        <v>1151110</v>
      </c>
      <c r="B3182" s="750" t="s">
        <v>4151</v>
      </c>
      <c r="C3182" s="693"/>
      <c r="D3182" s="693" t="s">
        <v>805</v>
      </c>
      <c r="E3182" s="752" t="s">
        <v>1011</v>
      </c>
      <c r="F3182" s="744" t="s">
        <v>1012</v>
      </c>
      <c r="G3182" s="745">
        <v>115</v>
      </c>
      <c r="H3182" s="697">
        <v>1100</v>
      </c>
      <c r="I3182" s="695"/>
      <c r="J3182" s="695" t="str">
        <f t="shared" si="553"/>
        <v>Aides</v>
      </c>
      <c r="L3182" s="668">
        <v>86</v>
      </c>
      <c r="M3182" s="669">
        <v>81</v>
      </c>
      <c r="N3182" s="668"/>
      <c r="O3182" s="668">
        <v>7</v>
      </c>
      <c r="P3182" s="668" t="str">
        <f>IFERROR(VLOOKUP(F3182, [2]MOE!B:C, 2, FALSE), "No")</f>
        <v>No</v>
      </c>
      <c r="Q3182" s="711" t="s">
        <v>1004</v>
      </c>
      <c r="S3182" s="670" t="s">
        <v>1006</v>
      </c>
      <c r="T3182" s="668" t="s">
        <v>1011</v>
      </c>
    </row>
    <row r="3183" spans="1:20">
      <c r="A3183" s="751">
        <v>1151130</v>
      </c>
      <c r="B3183" s="750" t="s">
        <v>4151</v>
      </c>
      <c r="C3183" s="693"/>
      <c r="D3183" s="693" t="s">
        <v>805</v>
      </c>
      <c r="E3183" s="752" t="s">
        <v>1011</v>
      </c>
      <c r="F3183" s="744" t="s">
        <v>1012</v>
      </c>
      <c r="G3183" s="745">
        <v>115</v>
      </c>
      <c r="H3183" s="697">
        <v>1100</v>
      </c>
      <c r="I3183" s="695"/>
      <c r="J3183" s="695" t="str">
        <f t="shared" si="553"/>
        <v>Aides</v>
      </c>
      <c r="L3183" s="668">
        <v>86</v>
      </c>
      <c r="M3183" s="669">
        <v>81</v>
      </c>
      <c r="N3183" s="668"/>
      <c r="O3183" s="668">
        <v>7</v>
      </c>
      <c r="P3183" s="668" t="str">
        <f>IFERROR(VLOOKUP(F3183, [2]MOE!B:C, 2, FALSE), "No")</f>
        <v>No</v>
      </c>
      <c r="Q3183" s="711" t="s">
        <v>1004</v>
      </c>
      <c r="S3183" s="670" t="s">
        <v>1006</v>
      </c>
      <c r="T3183" s="668" t="s">
        <v>1011</v>
      </c>
    </row>
    <row r="3184" spans="1:20">
      <c r="A3184" s="751">
        <v>6101105</v>
      </c>
      <c r="B3184" s="750" t="s">
        <v>4151</v>
      </c>
      <c r="C3184" s="693"/>
      <c r="D3184" s="693" t="s">
        <v>777</v>
      </c>
      <c r="E3184" s="752" t="s">
        <v>1046</v>
      </c>
      <c r="F3184" s="744" t="s">
        <v>1047</v>
      </c>
      <c r="G3184" s="745">
        <v>610</v>
      </c>
      <c r="H3184" s="697">
        <v>1100</v>
      </c>
      <c r="I3184" s="695"/>
      <c r="J3184" s="695" t="str">
        <f t="shared" si="553"/>
        <v>Materials and Supplies (e.g., rpt. cards)</v>
      </c>
      <c r="L3184" s="668">
        <v>122</v>
      </c>
      <c r="M3184" s="669">
        <v>113</v>
      </c>
      <c r="N3184" s="668"/>
      <c r="O3184" s="668">
        <v>7</v>
      </c>
      <c r="P3184" s="668" t="str">
        <f>IFERROR(VLOOKUP(F3184, [2]MOE!B:C, 2, FALSE), "No")</f>
        <v>No</v>
      </c>
      <c r="Q3184" s="711" t="s">
        <v>1045</v>
      </c>
      <c r="S3184" s="670" t="s">
        <v>1006</v>
      </c>
      <c r="T3184" s="668" t="s">
        <v>39</v>
      </c>
    </row>
    <row r="3185" spans="1:20">
      <c r="A3185" s="751">
        <v>6101130</v>
      </c>
      <c r="B3185" s="750" t="s">
        <v>4151</v>
      </c>
      <c r="C3185" s="693"/>
      <c r="D3185" s="693" t="s">
        <v>777</v>
      </c>
      <c r="E3185" s="752" t="s">
        <v>1046</v>
      </c>
      <c r="F3185" s="744" t="s">
        <v>1047</v>
      </c>
      <c r="G3185" s="745">
        <v>610</v>
      </c>
      <c r="H3185" s="697">
        <v>1100</v>
      </c>
      <c r="I3185" s="695"/>
      <c r="J3185" s="695" t="str">
        <f t="shared" si="553"/>
        <v>Materials and Supplies (e.g., rpt. cards)</v>
      </c>
      <c r="L3185" s="668">
        <v>122</v>
      </c>
      <c r="M3185" s="669">
        <v>113</v>
      </c>
      <c r="N3185" s="668"/>
      <c r="O3185" s="668">
        <v>7</v>
      </c>
      <c r="P3185" s="668" t="str">
        <f>IFERROR(VLOOKUP(F3185, [2]MOE!B:C, 2, FALSE), "No")</f>
        <v>No</v>
      </c>
      <c r="Q3185" s="711" t="s">
        <v>1045</v>
      </c>
      <c r="S3185" s="670" t="s">
        <v>1006</v>
      </c>
      <c r="T3185" s="668" t="s">
        <v>39</v>
      </c>
    </row>
    <row r="3186" spans="1:20">
      <c r="A3186" s="751">
        <v>6102182</v>
      </c>
      <c r="B3186" s="750" t="s">
        <v>4151</v>
      </c>
      <c r="C3186" s="693"/>
      <c r="D3186" s="693"/>
      <c r="E3186" s="752" t="s">
        <v>1141</v>
      </c>
      <c r="F3186" s="698" t="s">
        <v>2191</v>
      </c>
      <c r="G3186" s="753">
        <v>610</v>
      </c>
      <c r="H3186" s="702">
        <v>2190</v>
      </c>
      <c r="I3186" s="695"/>
      <c r="J3186" s="695" t="str">
        <f t="shared" si="553"/>
        <v>(2) Materials and Supplies</v>
      </c>
      <c r="L3186" s="668">
        <v>122</v>
      </c>
      <c r="M3186" s="669">
        <v>113</v>
      </c>
      <c r="N3186" s="668"/>
      <c r="O3186" s="668">
        <v>13</v>
      </c>
      <c r="P3186" s="668" t="str">
        <f>IFERROR(VLOOKUP(F3186, [2]MOE!B:C, 2, FALSE), "No")</f>
        <v>No</v>
      </c>
      <c r="Q3186" s="711" t="s">
        <v>1045</v>
      </c>
      <c r="S3186" s="670" t="s">
        <v>2168</v>
      </c>
      <c r="T3186" s="668" t="s">
        <v>39</v>
      </c>
    </row>
    <row r="3187" spans="1:20">
      <c r="A3187" s="751">
        <v>6102184</v>
      </c>
      <c r="B3187" s="750" t="s">
        <v>4151</v>
      </c>
      <c r="C3187" s="693"/>
      <c r="D3187" s="693"/>
      <c r="E3187" s="752" t="s">
        <v>1141</v>
      </c>
      <c r="F3187" s="698" t="s">
        <v>2191</v>
      </c>
      <c r="G3187" s="753">
        <v>610</v>
      </c>
      <c r="H3187" s="702">
        <v>2190</v>
      </c>
      <c r="I3187" s="695"/>
      <c r="J3187" s="695" t="str">
        <f t="shared" si="553"/>
        <v>(2) Materials and Supplies</v>
      </c>
      <c r="L3187" s="668">
        <v>122</v>
      </c>
      <c r="M3187" s="669">
        <v>113</v>
      </c>
      <c r="N3187" s="668"/>
      <c r="O3187" s="668">
        <v>13</v>
      </c>
      <c r="P3187" s="668" t="str">
        <f>IFERROR(VLOOKUP(F3187, [2]MOE!B:C, 2, FALSE), "No")</f>
        <v>No</v>
      </c>
      <c r="Q3187" s="711" t="s">
        <v>1045</v>
      </c>
      <c r="S3187" s="670" t="s">
        <v>2168</v>
      </c>
      <c r="T3187" s="668" t="s">
        <v>39</v>
      </c>
    </row>
    <row r="3188" spans="1:20">
      <c r="A3188" s="751">
        <v>6102185</v>
      </c>
      <c r="B3188" s="750" t="s">
        <v>4151</v>
      </c>
      <c r="C3188" s="693"/>
      <c r="D3188" s="693"/>
      <c r="E3188" s="752" t="s">
        <v>1141</v>
      </c>
      <c r="F3188" s="698" t="s">
        <v>2191</v>
      </c>
      <c r="G3188" s="753">
        <v>610</v>
      </c>
      <c r="H3188" s="702">
        <v>2190</v>
      </c>
      <c r="I3188" s="695"/>
      <c r="J3188" s="695" t="str">
        <f t="shared" si="553"/>
        <v>(2) Materials and Supplies</v>
      </c>
      <c r="L3188" s="668">
        <v>122</v>
      </c>
      <c r="M3188" s="669">
        <v>113</v>
      </c>
      <c r="N3188" s="668"/>
      <c r="O3188" s="668">
        <v>13</v>
      </c>
      <c r="P3188" s="668" t="str">
        <f>IFERROR(VLOOKUP(F3188, [2]MOE!B:C, 2, FALSE), "No")</f>
        <v>No</v>
      </c>
      <c r="Q3188" s="711" t="s">
        <v>1045</v>
      </c>
      <c r="S3188" s="670" t="s">
        <v>2168</v>
      </c>
      <c r="T3188" s="668" t="s">
        <v>39</v>
      </c>
    </row>
    <row r="3189" spans="1:20">
      <c r="A3189" s="754"/>
      <c r="B3189" s="668"/>
      <c r="C3189" s="672"/>
      <c r="D3189" s="672"/>
      <c r="E3189" s="672"/>
      <c r="G3189" s="668"/>
      <c r="H3189" s="672"/>
      <c r="S3189" s="670"/>
    </row>
    <row r="3190" spans="1:20">
      <c r="A3190" s="754"/>
      <c r="B3190" s="668"/>
      <c r="C3190" s="672"/>
      <c r="D3190" s="672"/>
      <c r="E3190" s="672"/>
      <c r="G3190" s="668"/>
      <c r="H3190" s="672"/>
      <c r="S3190" s="670"/>
    </row>
    <row r="3191" spans="1:20">
      <c r="A3191" s="755"/>
      <c r="B3191" s="668"/>
      <c r="C3191" s="672"/>
      <c r="D3191" s="672"/>
      <c r="E3191" s="672"/>
      <c r="G3191" s="668"/>
      <c r="H3191" s="672"/>
      <c r="S3191" s="670"/>
    </row>
    <row r="3192" spans="1:20">
      <c r="A3192" s="755"/>
      <c r="B3192" s="668"/>
      <c r="C3192" s="672"/>
      <c r="D3192" s="672"/>
      <c r="E3192" s="672"/>
      <c r="G3192" s="668"/>
      <c r="H3192" s="672"/>
      <c r="S3192" s="670"/>
    </row>
    <row r="3193" spans="1:20">
      <c r="A3193" s="755"/>
      <c r="B3193" s="668" t="s">
        <v>743</v>
      </c>
      <c r="C3193" s="672"/>
      <c r="D3193" s="672"/>
      <c r="E3193" s="672"/>
      <c r="G3193" s="668" t="s">
        <v>743</v>
      </c>
      <c r="H3193" s="672"/>
      <c r="S3193" s="670"/>
    </row>
    <row r="3194" spans="1:20">
      <c r="A3194" s="755"/>
      <c r="B3194" s="734"/>
      <c r="C3194" s="921" t="s">
        <v>4152</v>
      </c>
      <c r="D3194" s="795"/>
      <c r="E3194" s="672"/>
      <c r="G3194" s="756"/>
      <c r="H3194" s="672"/>
      <c r="S3194" s="670"/>
    </row>
    <row r="3195" spans="1:20">
      <c r="A3195" s="755">
        <v>1011000</v>
      </c>
      <c r="B3195" s="734"/>
      <c r="C3195" s="678">
        <v>1</v>
      </c>
      <c r="D3195" s="672"/>
      <c r="E3195" s="672" t="s">
        <v>4153</v>
      </c>
      <c r="F3195" s="757" t="s">
        <v>4154</v>
      </c>
      <c r="G3195" s="758" t="s">
        <v>4155</v>
      </c>
      <c r="H3195" s="672"/>
      <c r="J3195" s="668" t="str">
        <f t="shared" ref="J3195:J3216" si="554">E3195</f>
        <v>Cash and Cash Investments</v>
      </c>
      <c r="M3195" s="668" t="s">
        <v>4156</v>
      </c>
      <c r="S3195" s="670"/>
    </row>
    <row r="3196" spans="1:20">
      <c r="A3196" s="755">
        <v>1012000</v>
      </c>
      <c r="B3196" s="734"/>
      <c r="C3196" s="678"/>
      <c r="D3196" s="672"/>
      <c r="E3196" s="720" t="s">
        <v>4157</v>
      </c>
      <c r="F3196" s="757" t="s">
        <v>4154</v>
      </c>
      <c r="G3196" s="758"/>
      <c r="H3196" s="672"/>
      <c r="J3196" s="668" t="str">
        <f t="shared" si="554"/>
        <v>Bank accounts</v>
      </c>
      <c r="M3196" s="668" t="s">
        <v>4158</v>
      </c>
      <c r="S3196" s="670"/>
    </row>
    <row r="3197" spans="1:20">
      <c r="A3197" s="755">
        <v>1013000</v>
      </c>
      <c r="B3197" s="734"/>
      <c r="C3197" s="678"/>
      <c r="D3197" s="672"/>
      <c r="E3197" s="720" t="s">
        <v>4157</v>
      </c>
      <c r="F3197" s="757" t="s">
        <v>4154</v>
      </c>
      <c r="G3197" s="758"/>
      <c r="H3197" s="672"/>
      <c r="J3197" s="668" t="str">
        <f t="shared" si="554"/>
        <v>Bank accounts</v>
      </c>
      <c r="M3197" s="668" t="s">
        <v>4159</v>
      </c>
      <c r="S3197" s="670"/>
    </row>
    <row r="3198" spans="1:20">
      <c r="A3198" s="755">
        <v>1014000</v>
      </c>
      <c r="B3198" s="734"/>
      <c r="C3198" s="678"/>
      <c r="D3198" s="672"/>
      <c r="E3198" s="720" t="s">
        <v>4157</v>
      </c>
      <c r="F3198" s="757" t="s">
        <v>4154</v>
      </c>
      <c r="G3198" s="758"/>
      <c r="H3198" s="672"/>
      <c r="J3198" s="668" t="str">
        <f t="shared" si="554"/>
        <v>Bank accounts</v>
      </c>
      <c r="M3198" s="668" t="s">
        <v>4160</v>
      </c>
      <c r="S3198" s="670"/>
    </row>
    <row r="3199" spans="1:20">
      <c r="A3199" s="755">
        <v>1015000</v>
      </c>
      <c r="B3199" s="734"/>
      <c r="C3199" s="678"/>
      <c r="D3199" s="672"/>
      <c r="E3199" s="720" t="s">
        <v>4157</v>
      </c>
      <c r="F3199" s="757" t="s">
        <v>4154</v>
      </c>
      <c r="G3199" s="758"/>
      <c r="H3199" s="672"/>
      <c r="J3199" s="668" t="str">
        <f t="shared" si="554"/>
        <v>Bank accounts</v>
      </c>
      <c r="M3199" s="668" t="s">
        <v>4161</v>
      </c>
      <c r="S3199" s="670"/>
    </row>
    <row r="3200" spans="1:20">
      <c r="A3200" s="755">
        <v>1016000</v>
      </c>
      <c r="B3200" s="734"/>
      <c r="C3200" s="678"/>
      <c r="D3200" s="672"/>
      <c r="E3200" s="720" t="s">
        <v>4157</v>
      </c>
      <c r="F3200" s="757" t="s">
        <v>4154</v>
      </c>
      <c r="G3200" s="758"/>
      <c r="H3200" s="672"/>
      <c r="J3200" s="668" t="str">
        <f t="shared" si="554"/>
        <v>Bank accounts</v>
      </c>
      <c r="M3200" s="668" t="s">
        <v>4162</v>
      </c>
      <c r="S3200" s="670"/>
    </row>
    <row r="3201" spans="1:19">
      <c r="A3201" s="755">
        <v>1017000</v>
      </c>
      <c r="B3201" s="734"/>
      <c r="C3201" s="678"/>
      <c r="D3201" s="672"/>
      <c r="E3201" s="720" t="s">
        <v>4157</v>
      </c>
      <c r="F3201" s="757" t="s">
        <v>4154</v>
      </c>
      <c r="G3201" s="758"/>
      <c r="H3201" s="672"/>
      <c r="J3201" s="668" t="str">
        <f t="shared" si="554"/>
        <v>Bank accounts</v>
      </c>
      <c r="M3201" s="668" t="s">
        <v>4163</v>
      </c>
      <c r="S3201" s="670"/>
    </row>
    <row r="3202" spans="1:19">
      <c r="A3202" s="755">
        <v>1018000</v>
      </c>
      <c r="B3202" s="734"/>
      <c r="C3202" s="678"/>
      <c r="D3202" s="672"/>
      <c r="E3202" s="720" t="s">
        <v>4157</v>
      </c>
      <c r="F3202" s="757" t="s">
        <v>4154</v>
      </c>
      <c r="G3202" s="758"/>
      <c r="H3202" s="672"/>
      <c r="J3202" s="668" t="str">
        <f t="shared" si="554"/>
        <v>Bank accounts</v>
      </c>
      <c r="M3202" s="668" t="s">
        <v>4164</v>
      </c>
      <c r="S3202" s="670"/>
    </row>
    <row r="3203" spans="1:19">
      <c r="A3203" s="759">
        <v>1022000</v>
      </c>
      <c r="C3203" s="678"/>
      <c r="D3203" s="672"/>
      <c r="E3203" s="720" t="s">
        <v>4157</v>
      </c>
      <c r="F3203" s="757" t="s">
        <v>4154</v>
      </c>
      <c r="G3203" s="758"/>
      <c r="H3203" s="672"/>
      <c r="J3203" s="668" t="str">
        <f t="shared" si="554"/>
        <v>Bank accounts</v>
      </c>
      <c r="M3203" s="668" t="s">
        <v>4164</v>
      </c>
      <c r="S3203" s="670"/>
    </row>
    <row r="3204" spans="1:19">
      <c r="A3204" s="759">
        <v>1021000</v>
      </c>
      <c r="C3204" s="678"/>
      <c r="D3204" s="672"/>
      <c r="E3204" s="720" t="s">
        <v>4157</v>
      </c>
      <c r="F3204" s="757" t="s">
        <v>4154</v>
      </c>
      <c r="G3204" s="758"/>
      <c r="H3204" s="672"/>
      <c r="J3204" s="668" t="str">
        <f t="shared" si="554"/>
        <v>Bank accounts</v>
      </c>
      <c r="M3204" s="668" t="s">
        <v>4164</v>
      </c>
      <c r="S3204" s="670"/>
    </row>
    <row r="3205" spans="1:19">
      <c r="A3205" s="759">
        <v>1019000</v>
      </c>
      <c r="C3205" s="678"/>
      <c r="D3205" s="672"/>
      <c r="E3205" s="720" t="s">
        <v>4157</v>
      </c>
      <c r="F3205" s="757" t="s">
        <v>4154</v>
      </c>
      <c r="G3205" s="758"/>
      <c r="H3205" s="672"/>
      <c r="J3205" s="668" t="str">
        <f t="shared" si="554"/>
        <v>Bank accounts</v>
      </c>
      <c r="M3205" s="668" t="s">
        <v>4164</v>
      </c>
      <c r="S3205" s="670"/>
    </row>
    <row r="3206" spans="1:19">
      <c r="A3206" s="760">
        <v>1019999</v>
      </c>
      <c r="C3206" s="678"/>
      <c r="D3206" s="672"/>
      <c r="E3206" s="720" t="s">
        <v>4157</v>
      </c>
      <c r="F3206" s="757" t="s">
        <v>4154</v>
      </c>
      <c r="G3206" s="758"/>
      <c r="H3206" s="672"/>
      <c r="J3206" s="668" t="str">
        <f t="shared" si="554"/>
        <v>Bank accounts</v>
      </c>
      <c r="M3206" s="668" t="s">
        <v>4164</v>
      </c>
      <c r="S3206" s="670"/>
    </row>
    <row r="3207" spans="1:19">
      <c r="A3207" s="760">
        <v>1011010</v>
      </c>
      <c r="C3207" s="678"/>
      <c r="D3207" s="672"/>
      <c r="E3207" s="720" t="s">
        <v>4157</v>
      </c>
      <c r="F3207" s="757" t="s">
        <v>4154</v>
      </c>
      <c r="G3207" s="758"/>
      <c r="H3207" s="672"/>
      <c r="J3207" s="668" t="str">
        <f t="shared" si="554"/>
        <v>Bank accounts</v>
      </c>
      <c r="M3207" s="668" t="s">
        <v>4164</v>
      </c>
      <c r="S3207" s="670"/>
    </row>
    <row r="3208" spans="1:19">
      <c r="A3208" s="760">
        <v>1011020</v>
      </c>
      <c r="C3208" s="678"/>
      <c r="D3208" s="672"/>
      <c r="E3208" s="720" t="s">
        <v>4157</v>
      </c>
      <c r="F3208" s="757" t="s">
        <v>4154</v>
      </c>
      <c r="G3208" s="758"/>
      <c r="H3208" s="672"/>
      <c r="J3208" s="668" t="str">
        <f t="shared" si="554"/>
        <v>Bank accounts</v>
      </c>
      <c r="M3208" s="668" t="s">
        <v>4164</v>
      </c>
      <c r="S3208" s="670"/>
    </row>
    <row r="3209" spans="1:19">
      <c r="A3209" s="760" t="s">
        <v>4165</v>
      </c>
      <c r="C3209" s="678"/>
      <c r="D3209" s="672"/>
      <c r="E3209" s="720" t="s">
        <v>4157</v>
      </c>
      <c r="F3209" s="757" t="s">
        <v>4154</v>
      </c>
      <c r="G3209" s="758"/>
      <c r="H3209" s="672"/>
      <c r="J3209" s="668" t="str">
        <f t="shared" si="554"/>
        <v>Bank accounts</v>
      </c>
      <c r="M3209" s="668" t="s">
        <v>4164</v>
      </c>
      <c r="S3209" s="670"/>
    </row>
    <row r="3210" spans="1:19">
      <c r="A3210" s="760" t="s">
        <v>4166</v>
      </c>
      <c r="C3210" s="678"/>
      <c r="D3210" s="672"/>
      <c r="E3210" s="720" t="s">
        <v>4157</v>
      </c>
      <c r="F3210" s="757" t="s">
        <v>4154</v>
      </c>
      <c r="G3210" s="758"/>
      <c r="H3210" s="672"/>
      <c r="J3210" s="668" t="str">
        <f t="shared" si="554"/>
        <v>Bank accounts</v>
      </c>
      <c r="M3210" s="668" t="s">
        <v>4164</v>
      </c>
      <c r="S3210" s="670"/>
    </row>
    <row r="3211" spans="1:19">
      <c r="A3211" s="760" t="s">
        <v>4167</v>
      </c>
      <c r="C3211" s="678"/>
      <c r="D3211" s="672"/>
      <c r="E3211" s="720" t="s">
        <v>4157</v>
      </c>
      <c r="F3211" s="757" t="s">
        <v>4154</v>
      </c>
      <c r="G3211" s="758"/>
      <c r="H3211" s="672"/>
      <c r="J3211" s="668" t="str">
        <f t="shared" si="554"/>
        <v>Bank accounts</v>
      </c>
      <c r="M3211" s="668" t="s">
        <v>4164</v>
      </c>
      <c r="S3211" s="670"/>
    </row>
    <row r="3212" spans="1:19">
      <c r="A3212" s="760" t="s">
        <v>4168</v>
      </c>
      <c r="C3212" s="678"/>
      <c r="D3212" s="672"/>
      <c r="E3212" s="720" t="s">
        <v>4157</v>
      </c>
      <c r="F3212" s="757" t="s">
        <v>4154</v>
      </c>
      <c r="G3212" s="758"/>
      <c r="H3212" s="672"/>
      <c r="J3212" s="668" t="str">
        <f t="shared" si="554"/>
        <v>Bank accounts</v>
      </c>
      <c r="M3212" s="668" t="s">
        <v>4164</v>
      </c>
      <c r="S3212" s="670"/>
    </row>
    <row r="3213" spans="1:19">
      <c r="A3213" s="760" t="s">
        <v>4169</v>
      </c>
      <c r="C3213" s="678"/>
      <c r="D3213" s="672"/>
      <c r="E3213" s="720" t="s">
        <v>4157</v>
      </c>
      <c r="F3213" s="757" t="s">
        <v>4154</v>
      </c>
      <c r="G3213" s="758"/>
      <c r="H3213" s="672"/>
      <c r="J3213" s="668" t="str">
        <f t="shared" si="554"/>
        <v>Bank accounts</v>
      </c>
      <c r="M3213" s="668" t="s">
        <v>4164</v>
      </c>
      <c r="S3213" s="670"/>
    </row>
    <row r="3214" spans="1:19">
      <c r="A3214" s="760">
        <v>1014002</v>
      </c>
      <c r="C3214" s="678"/>
      <c r="D3214" s="672"/>
      <c r="E3214" s="720" t="s">
        <v>4157</v>
      </c>
      <c r="F3214" s="757" t="s">
        <v>4154</v>
      </c>
      <c r="G3214" s="758"/>
      <c r="H3214" s="672"/>
      <c r="J3214" s="668" t="str">
        <f t="shared" si="554"/>
        <v>Bank accounts</v>
      </c>
      <c r="M3214" s="668" t="s">
        <v>4164</v>
      </c>
      <c r="S3214" s="670"/>
    </row>
    <row r="3215" spans="1:19">
      <c r="A3215" s="760">
        <v>1019998</v>
      </c>
      <c r="C3215" s="678"/>
      <c r="D3215" s="672"/>
      <c r="E3215" s="720" t="s">
        <v>4157</v>
      </c>
      <c r="F3215" s="757" t="s">
        <v>4154</v>
      </c>
      <c r="G3215" s="758"/>
      <c r="H3215" s="672"/>
      <c r="J3215" s="668" t="str">
        <f t="shared" si="554"/>
        <v>Bank accounts</v>
      </c>
      <c r="M3215" s="668" t="s">
        <v>4164</v>
      </c>
      <c r="S3215" s="670"/>
    </row>
    <row r="3216" spans="1:19">
      <c r="A3216" s="754">
        <v>1010000</v>
      </c>
      <c r="C3216" s="678"/>
      <c r="D3216" s="672"/>
      <c r="E3216" s="720" t="s">
        <v>4157</v>
      </c>
      <c r="F3216" s="757" t="s">
        <v>4154</v>
      </c>
      <c r="G3216" s="758"/>
      <c r="H3216" s="672"/>
      <c r="J3216" s="668" t="str">
        <f t="shared" si="554"/>
        <v>Bank accounts</v>
      </c>
      <c r="M3216" s="668" t="s">
        <v>4170</v>
      </c>
      <c r="S3216" s="670"/>
    </row>
    <row r="3217" spans="1:19">
      <c r="A3217" s="755"/>
      <c r="C3217" s="678"/>
      <c r="D3217" s="672"/>
      <c r="E3217" s="761"/>
      <c r="F3217" s="757"/>
      <c r="G3217" s="758"/>
      <c r="H3217" s="672"/>
      <c r="M3217" s="668"/>
      <c r="S3217" s="670"/>
    </row>
    <row r="3218" spans="1:19">
      <c r="A3218" s="755"/>
      <c r="C3218" s="678"/>
      <c r="D3218" s="672"/>
      <c r="E3218" s="761"/>
      <c r="F3218" s="757"/>
      <c r="G3218" s="758"/>
      <c r="H3218" s="672"/>
      <c r="M3218" s="668"/>
      <c r="S3218" s="670"/>
    </row>
    <row r="3219" spans="1:19">
      <c r="A3219" s="755"/>
      <c r="C3219" s="678"/>
      <c r="D3219" s="672"/>
      <c r="E3219" s="761"/>
      <c r="F3219" s="757"/>
      <c r="G3219" s="758"/>
      <c r="H3219" s="672"/>
      <c r="M3219" s="668"/>
      <c r="S3219" s="670"/>
    </row>
    <row r="3220" spans="1:19">
      <c r="A3220" s="755"/>
      <c r="C3220" s="678"/>
      <c r="D3220" s="672"/>
      <c r="E3220" s="761"/>
      <c r="F3220" s="757"/>
      <c r="G3220" s="758"/>
      <c r="H3220" s="672"/>
      <c r="M3220" s="668"/>
      <c r="S3220" s="670"/>
    </row>
    <row r="3221" spans="1:19">
      <c r="A3221" s="755"/>
      <c r="C3221" s="678"/>
      <c r="D3221" s="672"/>
      <c r="E3221" s="761"/>
      <c r="F3221" s="757"/>
      <c r="G3221" s="758"/>
      <c r="H3221" s="672"/>
      <c r="M3221" s="668"/>
      <c r="S3221" s="670"/>
    </row>
    <row r="3222" spans="1:19">
      <c r="A3222" s="755">
        <v>1020000</v>
      </c>
      <c r="C3222" s="678"/>
      <c r="D3222" s="672"/>
      <c r="E3222" s="761" t="s">
        <v>4171</v>
      </c>
      <c r="F3222" s="757" t="s">
        <v>4154</v>
      </c>
      <c r="G3222" s="758"/>
      <c r="H3222" s="672"/>
      <c r="J3222" s="668" t="str">
        <f t="shared" ref="J3222:J3223" si="555">E3222</f>
        <v>Undeposited Funds</v>
      </c>
      <c r="M3222" s="668" t="s">
        <v>4170</v>
      </c>
      <c r="N3222" s="668" t="s">
        <v>4172</v>
      </c>
      <c r="S3222" s="670"/>
    </row>
    <row r="3223" spans="1:19">
      <c r="A3223" s="755">
        <v>1030000</v>
      </c>
      <c r="C3223" s="678"/>
      <c r="D3223" s="672"/>
      <c r="E3223" s="761" t="s">
        <v>4173</v>
      </c>
      <c r="F3223" s="757" t="s">
        <v>4154</v>
      </c>
      <c r="G3223" s="758"/>
      <c r="H3223" s="672"/>
      <c r="J3223" s="668" t="str">
        <f t="shared" si="555"/>
        <v>Petty Cash</v>
      </c>
      <c r="S3223" s="670"/>
    </row>
    <row r="3224" spans="1:19">
      <c r="A3224" s="755"/>
      <c r="B3224" s="734"/>
      <c r="C3224" s="678">
        <v>2</v>
      </c>
      <c r="D3224" s="672"/>
      <c r="E3224" s="672" t="s">
        <v>4174</v>
      </c>
      <c r="F3224" s="757" t="s">
        <v>4175</v>
      </c>
      <c r="G3224" s="758" t="s">
        <v>4176</v>
      </c>
      <c r="H3224" s="672"/>
      <c r="S3224" s="670"/>
    </row>
    <row r="3225" spans="1:19">
      <c r="A3225" s="754">
        <v>1530000</v>
      </c>
      <c r="B3225" s="734"/>
      <c r="C3225" s="678"/>
      <c r="D3225" s="672"/>
      <c r="E3225" s="761" t="s">
        <v>4172</v>
      </c>
      <c r="F3225" s="757" t="s">
        <v>4175</v>
      </c>
      <c r="G3225" s="758"/>
      <c r="H3225" s="672"/>
      <c r="J3225" s="668" t="str">
        <f>E3225</f>
        <v>Accounts Receivable</v>
      </c>
      <c r="M3225" s="668" t="s">
        <v>4177</v>
      </c>
      <c r="N3225" s="668" t="s">
        <v>4172</v>
      </c>
      <c r="S3225" s="670"/>
    </row>
    <row r="3226" spans="1:19">
      <c r="A3226" s="754">
        <v>1540000</v>
      </c>
      <c r="B3226" s="734"/>
      <c r="C3226" s="678"/>
      <c r="D3226" s="672"/>
      <c r="E3226" s="720" t="s">
        <v>4178</v>
      </c>
      <c r="G3226" s="758"/>
      <c r="H3226" s="672"/>
      <c r="M3226" s="668" t="s">
        <v>4177</v>
      </c>
      <c r="N3226" s="668" t="s">
        <v>4172</v>
      </c>
      <c r="S3226" s="670"/>
    </row>
    <row r="3227" spans="1:19">
      <c r="A3227" s="755"/>
      <c r="B3227" s="734"/>
      <c r="C3227" s="678">
        <v>3</v>
      </c>
      <c r="D3227" s="672"/>
      <c r="E3227" s="672" t="s">
        <v>4179</v>
      </c>
      <c r="G3227" s="758" t="s">
        <v>4180</v>
      </c>
      <c r="H3227" s="672"/>
      <c r="S3227" s="670"/>
    </row>
    <row r="3228" spans="1:19">
      <c r="A3228" s="755"/>
      <c r="B3228" s="734"/>
      <c r="C3228" s="678">
        <v>4</v>
      </c>
      <c r="D3228" s="672"/>
      <c r="E3228" s="672" t="s">
        <v>4181</v>
      </c>
      <c r="F3228" s="762" t="s">
        <v>4182</v>
      </c>
      <c r="G3228" s="763" t="s">
        <v>4183</v>
      </c>
      <c r="H3228" s="672"/>
      <c r="S3228" s="670"/>
    </row>
    <row r="3229" spans="1:19">
      <c r="A3229" s="754">
        <v>1532000</v>
      </c>
      <c r="B3229" s="734"/>
      <c r="C3229" s="678"/>
      <c r="D3229" s="672"/>
      <c r="E3229" s="761" t="s">
        <v>4184</v>
      </c>
      <c r="F3229" s="762" t="s">
        <v>4182</v>
      </c>
      <c r="G3229" s="763"/>
      <c r="H3229" s="672"/>
      <c r="J3229" s="668" t="str">
        <f t="shared" ref="J3229:J3235" si="556">E3229</f>
        <v xml:space="preserve">Advance to Employee </v>
      </c>
      <c r="M3229" s="668" t="s">
        <v>4177</v>
      </c>
      <c r="N3229" s="668" t="s">
        <v>4172</v>
      </c>
      <c r="S3229" s="670"/>
    </row>
    <row r="3230" spans="1:19">
      <c r="A3230" s="755">
        <v>1810000</v>
      </c>
      <c r="B3230" s="734"/>
      <c r="C3230" s="678"/>
      <c r="D3230" s="672"/>
      <c r="E3230" s="761" t="s">
        <v>4185</v>
      </c>
      <c r="F3230" s="762" t="s">
        <v>4182</v>
      </c>
      <c r="G3230" s="763"/>
      <c r="H3230" s="672"/>
      <c r="J3230" s="668" t="str">
        <f t="shared" si="556"/>
        <v>Prepaid Expenses</v>
      </c>
      <c r="M3230" s="668" t="s">
        <v>4186</v>
      </c>
      <c r="N3230" s="668" t="s">
        <v>4185</v>
      </c>
      <c r="S3230" s="670"/>
    </row>
    <row r="3231" spans="1:19">
      <c r="A3231" s="754">
        <v>1910100</v>
      </c>
      <c r="B3231" s="734"/>
      <c r="C3231" s="678"/>
      <c r="D3231" s="672"/>
      <c r="E3231" s="761" t="s">
        <v>4187</v>
      </c>
      <c r="F3231" s="762" t="s">
        <v>4182</v>
      </c>
      <c r="G3231" s="763"/>
      <c r="H3231" s="672"/>
      <c r="J3231" s="668" t="str">
        <f t="shared" si="556"/>
        <v>Security Deposit</v>
      </c>
      <c r="M3231" s="668" t="s">
        <v>4186</v>
      </c>
      <c r="N3231" s="668" t="s">
        <v>4185</v>
      </c>
      <c r="S3231" s="670"/>
    </row>
    <row r="3232" spans="1:19">
      <c r="A3232" s="755">
        <v>1920000</v>
      </c>
      <c r="B3232" s="734"/>
      <c r="C3232" s="678"/>
      <c r="D3232" s="672"/>
      <c r="E3232" s="761" t="s">
        <v>4188</v>
      </c>
      <c r="F3232" s="762" t="s">
        <v>4182</v>
      </c>
      <c r="G3232" s="763"/>
      <c r="H3232" s="672"/>
      <c r="J3232" s="668" t="str">
        <f t="shared" si="556"/>
        <v>Deferred rent asset</v>
      </c>
      <c r="M3232" s="668" t="s">
        <v>4189</v>
      </c>
      <c r="N3232" s="668" t="s">
        <v>4190</v>
      </c>
      <c r="S3232" s="670"/>
    </row>
    <row r="3233" spans="1:19">
      <c r="A3233" s="754">
        <v>1999900</v>
      </c>
      <c r="B3233" s="734"/>
      <c r="C3233" s="678"/>
      <c r="D3233" s="672"/>
      <c r="E3233" s="720" t="s">
        <v>4191</v>
      </c>
      <c r="F3233" s="762" t="s">
        <v>4182</v>
      </c>
      <c r="G3233" s="763"/>
      <c r="H3233" s="672"/>
      <c r="J3233" s="668" t="str">
        <f t="shared" si="556"/>
        <v>Due from Others</v>
      </c>
      <c r="M3233" s="668" t="s">
        <v>4192</v>
      </c>
      <c r="N3233" s="668" t="s">
        <v>4190</v>
      </c>
      <c r="S3233" s="670"/>
    </row>
    <row r="3234" spans="1:19">
      <c r="A3234" s="754">
        <v>1999910</v>
      </c>
      <c r="B3234" s="734"/>
      <c r="C3234" s="678"/>
      <c r="D3234" s="672"/>
      <c r="E3234" s="720" t="s">
        <v>4191</v>
      </c>
      <c r="F3234" s="762" t="s">
        <v>4182</v>
      </c>
      <c r="G3234" s="763"/>
      <c r="H3234" s="672"/>
      <c r="J3234" s="668" t="str">
        <f t="shared" si="556"/>
        <v>Due from Others</v>
      </c>
      <c r="M3234" s="668" t="s">
        <v>4192</v>
      </c>
      <c r="N3234" s="668" t="s">
        <v>4190</v>
      </c>
      <c r="S3234" s="670"/>
    </row>
    <row r="3235" spans="1:19">
      <c r="A3235" s="754">
        <v>1999920</v>
      </c>
      <c r="B3235" s="734"/>
      <c r="C3235" s="678"/>
      <c r="D3235" s="672"/>
      <c r="E3235" s="720" t="s">
        <v>4191</v>
      </c>
      <c r="F3235" s="762" t="s">
        <v>4182</v>
      </c>
      <c r="G3235" s="763"/>
      <c r="H3235" s="672"/>
      <c r="J3235" s="668" t="str">
        <f t="shared" si="556"/>
        <v>Due from Others</v>
      </c>
      <c r="M3235" s="668" t="s">
        <v>4192</v>
      </c>
      <c r="N3235" s="668" t="s">
        <v>4190</v>
      </c>
      <c r="S3235" s="670"/>
    </row>
    <row r="3236" spans="1:19">
      <c r="A3236" s="755"/>
      <c r="B3236" s="734"/>
      <c r="C3236" s="678"/>
      <c r="D3236" s="672"/>
      <c r="E3236" s="672"/>
      <c r="G3236" s="763"/>
      <c r="H3236" s="672"/>
      <c r="S3236" s="670"/>
    </row>
    <row r="3237" spans="1:19">
      <c r="A3237" s="755"/>
      <c r="B3237" s="734"/>
      <c r="C3237" s="678">
        <v>5</v>
      </c>
      <c r="D3237" s="672"/>
      <c r="E3237" s="672" t="s">
        <v>4190</v>
      </c>
      <c r="G3237" s="763" t="s">
        <v>4193</v>
      </c>
      <c r="H3237" s="672"/>
      <c r="S3237" s="670"/>
    </row>
    <row r="3238" spans="1:19">
      <c r="A3238" s="755">
        <v>2410000</v>
      </c>
      <c r="C3238" s="677"/>
      <c r="D3238" s="677"/>
      <c r="E3238" s="761" t="s">
        <v>4194</v>
      </c>
      <c r="F3238" s="757" t="s">
        <v>4195</v>
      </c>
      <c r="G3238" s="764"/>
      <c r="H3238" s="672"/>
      <c r="J3238" s="668" t="str">
        <f t="shared" ref="J3238:J3253" si="557">E3238</f>
        <v>Machinery and Equipment// Furniture &amp; Fixtures</v>
      </c>
      <c r="M3238" s="668" t="s">
        <v>4196</v>
      </c>
      <c r="N3238" s="765" t="s">
        <v>4197</v>
      </c>
      <c r="S3238" s="670"/>
    </row>
    <row r="3239" spans="1:19">
      <c r="A3239" s="755">
        <v>2420000</v>
      </c>
      <c r="C3239" s="677"/>
      <c r="D3239" s="677"/>
      <c r="E3239" s="761" t="s">
        <v>4198</v>
      </c>
      <c r="F3239" s="757" t="s">
        <v>4195</v>
      </c>
      <c r="G3239" s="764"/>
      <c r="H3239" s="672"/>
      <c r="J3239" s="668" t="str">
        <f t="shared" si="557"/>
        <v>Accumulated Depreciation</v>
      </c>
      <c r="M3239" s="668" t="s">
        <v>4199</v>
      </c>
      <c r="N3239" s="668" t="s">
        <v>4200</v>
      </c>
      <c r="S3239" s="670"/>
    </row>
    <row r="3240" spans="1:19">
      <c r="A3240" s="754">
        <v>2210000</v>
      </c>
      <c r="C3240" s="677"/>
      <c r="D3240" s="677"/>
      <c r="E3240" s="721" t="s">
        <v>4201</v>
      </c>
      <c r="F3240" s="757" t="s">
        <v>4195</v>
      </c>
      <c r="G3240" s="764"/>
      <c r="H3240" s="672"/>
      <c r="J3240" s="668" t="str">
        <f t="shared" si="557"/>
        <v>Leasehold Improvements</v>
      </c>
      <c r="M3240" s="668" t="s">
        <v>4202</v>
      </c>
      <c r="N3240" s="765" t="s">
        <v>4197</v>
      </c>
      <c r="S3240" s="670"/>
    </row>
    <row r="3241" spans="1:19">
      <c r="A3241" s="754">
        <v>2411000</v>
      </c>
      <c r="C3241" s="677"/>
      <c r="D3241" s="677"/>
      <c r="E3241" s="721" t="s">
        <v>4203</v>
      </c>
      <c r="F3241" s="757" t="s">
        <v>4195</v>
      </c>
      <c r="G3241" s="764"/>
      <c r="H3241" s="672"/>
      <c r="J3241" s="668" t="str">
        <f t="shared" si="557"/>
        <v>Furniture &amp; Fixtures</v>
      </c>
      <c r="M3241" s="668" t="s">
        <v>4196</v>
      </c>
      <c r="N3241" s="765" t="s">
        <v>4197</v>
      </c>
      <c r="S3241" s="670"/>
    </row>
    <row r="3242" spans="1:19">
      <c r="A3242" s="754">
        <v>2412000</v>
      </c>
      <c r="C3242" s="677"/>
      <c r="D3242" s="677"/>
      <c r="E3242" s="721" t="s">
        <v>4204</v>
      </c>
      <c r="F3242" s="757" t="s">
        <v>4195</v>
      </c>
      <c r="G3242" s="764"/>
      <c r="H3242" s="672"/>
      <c r="J3242" s="668" t="str">
        <f t="shared" si="557"/>
        <v>Software</v>
      </c>
      <c r="M3242" s="668" t="s">
        <v>4196</v>
      </c>
      <c r="N3242" s="765" t="s">
        <v>4197</v>
      </c>
      <c r="S3242" s="670"/>
    </row>
    <row r="3243" spans="1:19">
      <c r="A3243" s="754">
        <v>2310000</v>
      </c>
      <c r="C3243" s="677"/>
      <c r="D3243" s="677"/>
      <c r="E3243" s="721" t="s">
        <v>4205</v>
      </c>
      <c r="F3243" s="757" t="s">
        <v>4195</v>
      </c>
      <c r="G3243" s="764"/>
      <c r="H3243" s="672"/>
      <c r="J3243" s="668" t="str">
        <f t="shared" si="557"/>
        <v>Building Improvements</v>
      </c>
      <c r="M3243" s="668" t="s">
        <v>4202</v>
      </c>
      <c r="N3243" s="765" t="s">
        <v>4197</v>
      </c>
      <c r="S3243" s="670"/>
    </row>
    <row r="3244" spans="1:19">
      <c r="A3244" s="754">
        <v>2650000</v>
      </c>
      <c r="C3244" s="677"/>
      <c r="D3244" s="677"/>
      <c r="E3244" s="721" t="s">
        <v>4206</v>
      </c>
      <c r="F3244" s="757" t="s">
        <v>4195</v>
      </c>
      <c r="G3244" s="764"/>
      <c r="H3244" s="672"/>
      <c r="J3244" s="668" t="str">
        <f t="shared" si="557"/>
        <v>ROU Asset Equipment</v>
      </c>
      <c r="M3244" s="668" t="s">
        <v>4207</v>
      </c>
      <c r="N3244" s="765" t="s">
        <v>4197</v>
      </c>
      <c r="S3244" s="670"/>
    </row>
    <row r="3245" spans="1:19">
      <c r="A3245" s="754">
        <v>2650001</v>
      </c>
      <c r="C3245" s="677"/>
      <c r="D3245" s="677"/>
      <c r="E3245" s="721" t="s">
        <v>4206</v>
      </c>
      <c r="F3245" s="757" t="s">
        <v>4195</v>
      </c>
      <c r="G3245" s="764"/>
      <c r="H3245" s="672"/>
      <c r="J3245" s="668" t="str">
        <f t="shared" si="557"/>
        <v>ROU Asset Equipment</v>
      </c>
      <c r="M3245" s="668" t="s">
        <v>4207</v>
      </c>
      <c r="N3245" s="765" t="s">
        <v>4197</v>
      </c>
      <c r="S3245" s="670"/>
    </row>
    <row r="3246" spans="1:19">
      <c r="A3246" s="754">
        <v>2650002</v>
      </c>
      <c r="C3246" s="677"/>
      <c r="D3246" s="677"/>
      <c r="E3246" s="721" t="s">
        <v>4206</v>
      </c>
      <c r="F3246" s="757" t="s">
        <v>4195</v>
      </c>
      <c r="G3246" s="764"/>
      <c r="H3246" s="672"/>
      <c r="J3246" s="668" t="str">
        <f t="shared" si="557"/>
        <v>ROU Asset Equipment</v>
      </c>
      <c r="M3246" s="668" t="s">
        <v>4207</v>
      </c>
      <c r="N3246" s="765" t="s">
        <v>4197</v>
      </c>
      <c r="S3246" s="670"/>
    </row>
    <row r="3247" spans="1:19">
      <c r="A3247" s="754">
        <v>2650003</v>
      </c>
      <c r="C3247" s="677"/>
      <c r="D3247" s="677"/>
      <c r="E3247" s="721" t="s">
        <v>4206</v>
      </c>
      <c r="F3247" s="757" t="s">
        <v>4195</v>
      </c>
      <c r="G3247" s="764"/>
      <c r="H3247" s="672"/>
      <c r="J3247" s="668" t="str">
        <f t="shared" si="557"/>
        <v>ROU Asset Equipment</v>
      </c>
      <c r="M3247" s="668" t="s">
        <v>4207</v>
      </c>
      <c r="N3247" s="765" t="s">
        <v>4197</v>
      </c>
      <c r="S3247" s="670"/>
    </row>
    <row r="3248" spans="1:19">
      <c r="A3248" s="754">
        <v>2650004</v>
      </c>
      <c r="C3248" s="677"/>
      <c r="D3248" s="677"/>
      <c r="E3248" s="721" t="s">
        <v>4206</v>
      </c>
      <c r="F3248" s="757" t="s">
        <v>4195</v>
      </c>
      <c r="G3248" s="764"/>
      <c r="H3248" s="672"/>
      <c r="J3248" s="668" t="str">
        <f t="shared" si="557"/>
        <v>ROU Asset Equipment</v>
      </c>
      <c r="M3248" s="668" t="s">
        <v>4207</v>
      </c>
      <c r="N3248" s="765" t="s">
        <v>4197</v>
      </c>
      <c r="S3248" s="670"/>
    </row>
    <row r="3249" spans="1:19">
      <c r="A3249" s="754">
        <v>2660000</v>
      </c>
      <c r="C3249" s="677"/>
      <c r="D3249" s="677"/>
      <c r="E3249" s="721" t="s">
        <v>4208</v>
      </c>
      <c r="F3249" s="757" t="s">
        <v>4195</v>
      </c>
      <c r="G3249" s="764"/>
      <c r="H3249" s="672"/>
      <c r="J3249" s="668" t="str">
        <f t="shared" si="557"/>
        <v>ROU Asset Equipment Depreciation</v>
      </c>
      <c r="M3249" s="668" t="s">
        <v>4199</v>
      </c>
      <c r="N3249" s="668" t="s">
        <v>4200</v>
      </c>
      <c r="S3249" s="670"/>
    </row>
    <row r="3250" spans="1:19">
      <c r="A3250" s="754">
        <v>2660001</v>
      </c>
      <c r="C3250" s="677"/>
      <c r="D3250" s="677"/>
      <c r="E3250" s="721" t="s">
        <v>4208</v>
      </c>
      <c r="F3250" s="757" t="s">
        <v>4195</v>
      </c>
      <c r="G3250" s="764"/>
      <c r="H3250" s="672"/>
      <c r="J3250" s="668" t="str">
        <f t="shared" si="557"/>
        <v>ROU Asset Equipment Depreciation</v>
      </c>
      <c r="M3250" s="668" t="s">
        <v>4199</v>
      </c>
      <c r="N3250" s="668" t="s">
        <v>4200</v>
      </c>
      <c r="S3250" s="670"/>
    </row>
    <row r="3251" spans="1:19">
      <c r="A3251" s="754">
        <v>2660002</v>
      </c>
      <c r="C3251" s="677"/>
      <c r="D3251" s="677"/>
      <c r="E3251" s="721" t="s">
        <v>4208</v>
      </c>
      <c r="F3251" s="757" t="s">
        <v>4195</v>
      </c>
      <c r="G3251" s="764"/>
      <c r="H3251" s="672"/>
      <c r="J3251" s="668" t="str">
        <f t="shared" si="557"/>
        <v>ROU Asset Equipment Depreciation</v>
      </c>
      <c r="M3251" s="668" t="s">
        <v>4199</v>
      </c>
      <c r="N3251" s="668" t="s">
        <v>4200</v>
      </c>
      <c r="S3251" s="670"/>
    </row>
    <row r="3252" spans="1:19">
      <c r="A3252" s="754">
        <v>2660003</v>
      </c>
      <c r="C3252" s="677"/>
      <c r="D3252" s="677"/>
      <c r="E3252" s="721" t="s">
        <v>4208</v>
      </c>
      <c r="F3252" s="757" t="s">
        <v>4195</v>
      </c>
      <c r="G3252" s="764"/>
      <c r="H3252" s="672"/>
      <c r="J3252" s="668" t="str">
        <f t="shared" si="557"/>
        <v>ROU Asset Equipment Depreciation</v>
      </c>
      <c r="M3252" s="668" t="s">
        <v>4199</v>
      </c>
      <c r="N3252" s="668" t="s">
        <v>4200</v>
      </c>
      <c r="S3252" s="670"/>
    </row>
    <row r="3253" spans="1:19">
      <c r="A3253" s="754">
        <v>2660004</v>
      </c>
      <c r="C3253" s="677"/>
      <c r="D3253" s="677"/>
      <c r="E3253" s="721" t="s">
        <v>4208</v>
      </c>
      <c r="F3253" s="757" t="s">
        <v>4195</v>
      </c>
      <c r="G3253" s="764"/>
      <c r="H3253" s="672"/>
      <c r="J3253" s="668" t="str">
        <f t="shared" si="557"/>
        <v>ROU Asset Equipment Depreciation</v>
      </c>
      <c r="M3253" s="668" t="s">
        <v>4199</v>
      </c>
      <c r="N3253" s="668" t="s">
        <v>4200</v>
      </c>
      <c r="S3253" s="670"/>
    </row>
    <row r="3254" spans="1:19">
      <c r="A3254" s="754"/>
      <c r="C3254" s="677"/>
      <c r="D3254" s="677"/>
      <c r="E3254" s="721"/>
      <c r="F3254" s="757"/>
      <c r="G3254" s="764"/>
      <c r="H3254" s="672"/>
      <c r="M3254" s="668"/>
      <c r="S3254" s="670"/>
    </row>
    <row r="3255" spans="1:19">
      <c r="A3255" s="754"/>
      <c r="C3255" s="677"/>
      <c r="D3255" s="677"/>
      <c r="E3255" s="721"/>
      <c r="F3255" s="757"/>
      <c r="G3255" s="764"/>
      <c r="H3255" s="672"/>
      <c r="M3255" s="668"/>
      <c r="S3255" s="670"/>
    </row>
    <row r="3256" spans="1:19">
      <c r="A3256" s="754">
        <v>2710000</v>
      </c>
      <c r="C3256" s="677"/>
      <c r="D3256" s="677"/>
      <c r="E3256" s="721" t="s">
        <v>4209</v>
      </c>
      <c r="F3256" s="757" t="s">
        <v>4195</v>
      </c>
      <c r="G3256" s="764"/>
      <c r="H3256" s="672"/>
      <c r="J3256" s="668" t="str">
        <f t="shared" ref="J3256:J3258" si="558">E3256</f>
        <v>Construction in Progress</v>
      </c>
      <c r="M3256" s="668" t="s">
        <v>4202</v>
      </c>
      <c r="N3256" s="765" t="s">
        <v>4197</v>
      </c>
      <c r="S3256" s="670"/>
    </row>
    <row r="3257" spans="1:19">
      <c r="A3257" s="766">
        <v>1110000</v>
      </c>
      <c r="C3257" s="677"/>
      <c r="D3257" s="677"/>
      <c r="E3257" s="721" t="s">
        <v>4210</v>
      </c>
      <c r="F3257" s="762" t="s">
        <v>4211</v>
      </c>
      <c r="G3257" s="764"/>
      <c r="H3257" s="672"/>
      <c r="J3257" s="668" t="str">
        <f t="shared" si="558"/>
        <v>Investment Account</v>
      </c>
      <c r="M3257" s="668" t="s">
        <v>4212</v>
      </c>
      <c r="N3257" s="668" t="s">
        <v>4190</v>
      </c>
      <c r="S3257" s="670"/>
    </row>
    <row r="3258" spans="1:19" ht="16" thickBot="1">
      <c r="A3258" s="754">
        <v>1999950</v>
      </c>
      <c r="C3258" s="677"/>
      <c r="D3258" s="677"/>
      <c r="E3258" s="721" t="s">
        <v>4213</v>
      </c>
      <c r="F3258" s="762" t="s">
        <v>4211</v>
      </c>
      <c r="G3258" s="764"/>
      <c r="H3258" s="672"/>
      <c r="J3258" s="668" t="str">
        <f t="shared" si="558"/>
        <v>Endowment</v>
      </c>
      <c r="M3258" s="668" t="s">
        <v>4214</v>
      </c>
      <c r="N3258" s="668" t="s">
        <v>4190</v>
      </c>
      <c r="S3258" s="670"/>
    </row>
    <row r="3259" spans="1:19" ht="16.5" thickTop="1" thickBot="1">
      <c r="A3259" s="755"/>
      <c r="B3259" s="767"/>
      <c r="C3259" s="929" t="s">
        <v>4215</v>
      </c>
      <c r="D3259" s="930"/>
      <c r="E3259" s="707"/>
      <c r="G3259" s="768"/>
      <c r="H3259" s="672"/>
      <c r="S3259" s="670"/>
    </row>
    <row r="3260" spans="1:19" ht="16" thickTop="1">
      <c r="A3260" s="755"/>
      <c r="B3260" s="734"/>
      <c r="C3260" s="672"/>
      <c r="D3260" s="672"/>
      <c r="E3260" s="676"/>
      <c r="G3260" s="756"/>
      <c r="H3260" s="672"/>
      <c r="S3260" s="670"/>
    </row>
    <row r="3261" spans="1:19">
      <c r="A3261" s="755"/>
      <c r="B3261" s="734"/>
      <c r="C3261" s="921" t="s">
        <v>4216</v>
      </c>
      <c r="D3261" s="795"/>
      <c r="E3261" s="676"/>
      <c r="G3261" s="756"/>
      <c r="H3261" s="672"/>
      <c r="S3261" s="670"/>
    </row>
    <row r="3262" spans="1:19">
      <c r="A3262" s="755"/>
      <c r="B3262" s="734"/>
      <c r="C3262" s="678">
        <v>6</v>
      </c>
      <c r="D3262" s="672"/>
      <c r="E3262" s="672" t="s">
        <v>4217</v>
      </c>
      <c r="F3262" s="757" t="s">
        <v>4218</v>
      </c>
      <c r="G3262" s="758" t="s">
        <v>4219</v>
      </c>
      <c r="H3262" s="672"/>
      <c r="S3262" s="670"/>
    </row>
    <row r="3263" spans="1:19">
      <c r="A3263" s="755">
        <v>4210000</v>
      </c>
      <c r="C3263" s="678"/>
      <c r="D3263" s="672"/>
      <c r="E3263" s="761" t="s">
        <v>4220</v>
      </c>
      <c r="G3263" s="758"/>
      <c r="H3263" s="672"/>
      <c r="J3263" s="668" t="str">
        <f>E3263</f>
        <v>Accounts Payable</v>
      </c>
      <c r="M3263" s="668" t="s">
        <v>4221</v>
      </c>
      <c r="N3263" s="668" t="s">
        <v>4220</v>
      </c>
      <c r="S3263" s="670"/>
    </row>
    <row r="3264" spans="1:19">
      <c r="A3264" s="755"/>
      <c r="B3264" s="734"/>
      <c r="C3264" s="678"/>
      <c r="D3264" s="672"/>
      <c r="E3264" s="672"/>
      <c r="G3264" s="758"/>
      <c r="H3264" s="672"/>
      <c r="S3264" s="670"/>
    </row>
    <row r="3265" spans="1:19">
      <c r="A3265" s="755"/>
      <c r="B3265" s="734"/>
      <c r="C3265" s="678"/>
      <c r="D3265" s="672"/>
      <c r="E3265" s="672"/>
      <c r="G3265" s="758"/>
      <c r="H3265" s="672"/>
      <c r="S3265" s="670"/>
    </row>
    <row r="3266" spans="1:19">
      <c r="A3266" s="755">
        <v>4810000</v>
      </c>
      <c r="B3266" s="734"/>
      <c r="C3266" s="678">
        <v>7</v>
      </c>
      <c r="D3266" s="672"/>
      <c r="E3266" s="672" t="s">
        <v>4222</v>
      </c>
      <c r="F3266" s="757" t="s">
        <v>4223</v>
      </c>
      <c r="G3266" s="758">
        <v>-481</v>
      </c>
      <c r="H3266" s="672"/>
      <c r="J3266" s="668" t="str">
        <f>E3266</f>
        <v>Deferred Revenues</v>
      </c>
      <c r="M3266" s="668" t="s">
        <v>4224</v>
      </c>
      <c r="N3266" s="765" t="s">
        <v>4225</v>
      </c>
      <c r="S3266" s="670"/>
    </row>
    <row r="3267" spans="1:19">
      <c r="A3267" s="755"/>
      <c r="B3267" s="734"/>
      <c r="C3267" s="678">
        <v>8</v>
      </c>
      <c r="D3267" s="672"/>
      <c r="E3267" s="672" t="s">
        <v>4226</v>
      </c>
      <c r="G3267" s="763" t="s">
        <v>4227</v>
      </c>
      <c r="H3267" s="672"/>
      <c r="S3267" s="670"/>
    </row>
    <row r="3268" spans="1:19">
      <c r="A3268" s="754">
        <v>4511100</v>
      </c>
      <c r="C3268" s="678"/>
      <c r="D3268" s="672"/>
      <c r="E3268" s="761" t="s">
        <v>4228</v>
      </c>
      <c r="G3268" s="763"/>
      <c r="H3268" s="672"/>
      <c r="J3268" s="668" t="str">
        <f t="shared" ref="J3268:J3275" si="559">E3268</f>
        <v>Loan Payable</v>
      </c>
      <c r="M3268" s="668" t="s">
        <v>4229</v>
      </c>
      <c r="N3268" s="765" t="s">
        <v>4230</v>
      </c>
      <c r="S3268" s="670"/>
    </row>
    <row r="3269" spans="1:19">
      <c r="A3269" s="754">
        <v>4511000</v>
      </c>
      <c r="C3269" s="678"/>
      <c r="D3269" s="672"/>
      <c r="E3269" s="761" t="s">
        <v>4231</v>
      </c>
      <c r="F3269" s="757" t="s">
        <v>4232</v>
      </c>
      <c r="G3269" s="763"/>
      <c r="H3269" s="672"/>
      <c r="J3269" s="668" t="str">
        <f t="shared" si="559"/>
        <v>Line of credit</v>
      </c>
      <c r="M3269" s="668" t="s">
        <v>4233</v>
      </c>
      <c r="N3269" s="765" t="s">
        <v>4234</v>
      </c>
      <c r="S3269" s="670"/>
    </row>
    <row r="3270" spans="1:19">
      <c r="A3270" s="755">
        <v>4512000</v>
      </c>
      <c r="C3270" s="678"/>
      <c r="D3270" s="672"/>
      <c r="E3270" s="761" t="s">
        <v>4235</v>
      </c>
      <c r="F3270" s="757" t="s">
        <v>4236</v>
      </c>
      <c r="G3270" s="763"/>
      <c r="H3270" s="672"/>
      <c r="J3270" s="668" t="str">
        <f t="shared" si="559"/>
        <v>Current portion, long term debt</v>
      </c>
      <c r="M3270" s="668" t="s">
        <v>4229</v>
      </c>
      <c r="N3270" s="765" t="s">
        <v>4230</v>
      </c>
      <c r="S3270" s="670"/>
    </row>
    <row r="3271" spans="1:19">
      <c r="A3271" s="755">
        <v>4991000</v>
      </c>
      <c r="C3271" s="678"/>
      <c r="D3271" s="672"/>
      <c r="E3271" s="761" t="s">
        <v>4237</v>
      </c>
      <c r="F3271" s="757" t="s">
        <v>4232</v>
      </c>
      <c r="G3271" s="763"/>
      <c r="H3271" s="672"/>
      <c r="J3271" s="668" t="str">
        <f t="shared" si="559"/>
        <v>Credit Card Payable</v>
      </c>
      <c r="M3271" s="668" t="s">
        <v>4221</v>
      </c>
      <c r="N3271" s="668" t="s">
        <v>4220</v>
      </c>
      <c r="S3271" s="670"/>
    </row>
    <row r="3272" spans="1:19">
      <c r="A3272" s="755">
        <v>4992000</v>
      </c>
      <c r="C3272" s="678"/>
      <c r="D3272" s="672"/>
      <c r="E3272" s="761" t="s">
        <v>4237</v>
      </c>
      <c r="F3272" s="757" t="s">
        <v>4232</v>
      </c>
      <c r="G3272" s="763"/>
      <c r="H3272" s="672"/>
      <c r="J3272" s="668" t="str">
        <f t="shared" si="559"/>
        <v>Credit Card Payable</v>
      </c>
      <c r="M3272" s="668" t="s">
        <v>4221</v>
      </c>
      <c r="N3272" s="668" t="s">
        <v>4220</v>
      </c>
      <c r="S3272" s="670"/>
    </row>
    <row r="3273" spans="1:19">
      <c r="A3273" s="769">
        <v>4996000</v>
      </c>
      <c r="C3273" s="678"/>
      <c r="D3273" s="672"/>
      <c r="E3273" s="761" t="s">
        <v>4237</v>
      </c>
      <c r="F3273" s="757" t="s">
        <v>4232</v>
      </c>
      <c r="G3273" s="763"/>
      <c r="H3273" s="672"/>
      <c r="J3273" s="668" t="str">
        <f t="shared" si="559"/>
        <v>Credit Card Payable</v>
      </c>
      <c r="M3273" s="668" t="s">
        <v>4221</v>
      </c>
      <c r="N3273" s="668" t="s">
        <v>4220</v>
      </c>
      <c r="S3273" s="670"/>
    </row>
    <row r="3274" spans="1:19">
      <c r="A3274" s="769">
        <v>4994000</v>
      </c>
      <c r="C3274" s="678"/>
      <c r="D3274" s="672"/>
      <c r="E3274" s="761" t="s">
        <v>4237</v>
      </c>
      <c r="F3274" s="757" t="s">
        <v>4232</v>
      </c>
      <c r="G3274" s="763"/>
      <c r="H3274" s="672"/>
      <c r="J3274" s="668" t="str">
        <f t="shared" si="559"/>
        <v>Credit Card Payable</v>
      </c>
      <c r="M3274" s="668" t="s">
        <v>4221</v>
      </c>
      <c r="N3274" s="668" t="s">
        <v>4220</v>
      </c>
      <c r="S3274" s="670"/>
    </row>
    <row r="3275" spans="1:19">
      <c r="A3275" s="769">
        <v>4995000</v>
      </c>
      <c r="C3275" s="678"/>
      <c r="D3275" s="672"/>
      <c r="E3275" s="761" t="s">
        <v>4237</v>
      </c>
      <c r="F3275" s="757" t="s">
        <v>4232</v>
      </c>
      <c r="G3275" s="763"/>
      <c r="H3275" s="672"/>
      <c r="J3275" s="668" t="str">
        <f t="shared" si="559"/>
        <v>Credit Card Payable</v>
      </c>
      <c r="M3275" s="668" t="s">
        <v>4221</v>
      </c>
      <c r="N3275" s="668" t="s">
        <v>4220</v>
      </c>
      <c r="S3275" s="670"/>
    </row>
    <row r="3276" spans="1:19">
      <c r="A3276" s="755"/>
      <c r="C3276" s="678"/>
      <c r="D3276" s="672"/>
      <c r="E3276" s="761"/>
      <c r="F3276" s="757"/>
      <c r="G3276" s="763"/>
      <c r="H3276" s="672"/>
      <c r="M3276" s="668"/>
      <c r="S3276" s="670"/>
    </row>
    <row r="3277" spans="1:19">
      <c r="A3277" s="755"/>
      <c r="C3277" s="678"/>
      <c r="D3277" s="672"/>
      <c r="E3277" s="761"/>
      <c r="F3277" s="757"/>
      <c r="G3277" s="763"/>
      <c r="H3277" s="672"/>
      <c r="M3277" s="668"/>
      <c r="S3277" s="670"/>
    </row>
    <row r="3278" spans="1:19">
      <c r="A3278" s="755"/>
      <c r="C3278" s="678"/>
      <c r="D3278" s="672"/>
      <c r="E3278" s="761"/>
      <c r="F3278" s="757"/>
      <c r="G3278" s="763"/>
      <c r="H3278" s="672"/>
      <c r="M3278" s="668"/>
      <c r="S3278" s="670"/>
    </row>
    <row r="3279" spans="1:19">
      <c r="A3279" s="755">
        <v>4999000</v>
      </c>
      <c r="C3279" s="678"/>
      <c r="D3279" s="672"/>
      <c r="E3279" s="761" t="s">
        <v>4238</v>
      </c>
      <c r="F3279" s="757" t="s">
        <v>4232</v>
      </c>
      <c r="G3279" s="763"/>
      <c r="H3279" s="672"/>
      <c r="J3279" s="668" t="str">
        <f t="shared" ref="J3279:J3305" si="560">E3279</f>
        <v>Accrued rent liability ST</v>
      </c>
      <c r="M3279" s="668" t="s">
        <v>4239</v>
      </c>
      <c r="N3279" s="668" t="s">
        <v>4240</v>
      </c>
      <c r="S3279" s="670"/>
    </row>
    <row r="3280" spans="1:19">
      <c r="A3280" s="755">
        <v>5901000</v>
      </c>
      <c r="C3280" s="678"/>
      <c r="D3280" s="672"/>
      <c r="E3280" s="761" t="s">
        <v>4241</v>
      </c>
      <c r="F3280" s="757" t="s">
        <v>4236</v>
      </c>
      <c r="G3280" s="763"/>
      <c r="H3280" s="672"/>
      <c r="J3280" s="668" t="str">
        <f t="shared" si="560"/>
        <v>Accrued rent liability LT</v>
      </c>
      <c r="M3280" s="668" t="s">
        <v>4239</v>
      </c>
      <c r="N3280" s="668" t="s">
        <v>4240</v>
      </c>
      <c r="S3280" s="670"/>
    </row>
    <row r="3281" spans="1:19">
      <c r="A3281" s="755">
        <v>4610000</v>
      </c>
      <c r="C3281" s="678"/>
      <c r="D3281" s="672"/>
      <c r="E3281" s="761" t="s">
        <v>4242</v>
      </c>
      <c r="F3281" s="757" t="s">
        <v>4232</v>
      </c>
      <c r="G3281" s="763"/>
      <c r="H3281" s="672"/>
      <c r="J3281" s="668" t="str">
        <f t="shared" si="560"/>
        <v>Accrued Salaries and Benefits</v>
      </c>
      <c r="M3281" s="668" t="s">
        <v>4239</v>
      </c>
      <c r="N3281" s="668" t="s">
        <v>4240</v>
      </c>
      <c r="S3281" s="670"/>
    </row>
    <row r="3282" spans="1:19">
      <c r="A3282" s="754">
        <v>4611000</v>
      </c>
      <c r="C3282" s="678"/>
      <c r="D3282" s="672"/>
      <c r="E3282" s="761" t="s">
        <v>4243</v>
      </c>
      <c r="F3282" s="757" t="s">
        <v>4232</v>
      </c>
      <c r="G3282" s="763"/>
      <c r="H3282" s="672"/>
      <c r="J3282" s="668" t="str">
        <f t="shared" si="560"/>
        <v>Accrued Benefits</v>
      </c>
      <c r="M3282" s="668" t="s">
        <v>4239</v>
      </c>
      <c r="N3282" s="668" t="s">
        <v>4240</v>
      </c>
      <c r="S3282" s="670"/>
    </row>
    <row r="3283" spans="1:19">
      <c r="A3283" s="754">
        <v>4620000</v>
      </c>
      <c r="C3283" s="678"/>
      <c r="D3283" s="672"/>
      <c r="E3283" s="761" t="s">
        <v>4240</v>
      </c>
      <c r="F3283" s="757" t="s">
        <v>4232</v>
      </c>
      <c r="G3283" s="763"/>
      <c r="H3283" s="672"/>
      <c r="J3283" s="668" t="str">
        <f t="shared" si="560"/>
        <v>Accrued Expenses</v>
      </c>
      <c r="M3283" s="668" t="s">
        <v>4239</v>
      </c>
      <c r="N3283" s="668" t="s">
        <v>4240</v>
      </c>
      <c r="S3283" s="670"/>
    </row>
    <row r="3284" spans="1:19">
      <c r="A3284" s="755">
        <v>4710000</v>
      </c>
      <c r="C3284" s="678"/>
      <c r="D3284" s="672"/>
      <c r="E3284" s="761" t="s">
        <v>4244</v>
      </c>
      <c r="F3284" s="757" t="s">
        <v>4232</v>
      </c>
      <c r="G3284" s="763"/>
      <c r="H3284" s="672"/>
      <c r="J3284" s="668" t="str">
        <f t="shared" si="560"/>
        <v>Payroll Liabilities</v>
      </c>
      <c r="M3284" s="668" t="s">
        <v>4239</v>
      </c>
      <c r="N3284" s="668" t="s">
        <v>4225</v>
      </c>
      <c r="S3284" s="670"/>
    </row>
    <row r="3285" spans="1:19">
      <c r="A3285" s="755">
        <v>4711000</v>
      </c>
      <c r="C3285" s="678"/>
      <c r="D3285" s="672"/>
      <c r="E3285" s="761" t="s">
        <v>4245</v>
      </c>
      <c r="F3285" s="757" t="s">
        <v>4232</v>
      </c>
      <c r="G3285" s="763"/>
      <c r="H3285" s="672"/>
      <c r="J3285" s="668" t="str">
        <f t="shared" si="560"/>
        <v>Health Insurance</v>
      </c>
      <c r="M3285" s="668" t="s">
        <v>4239</v>
      </c>
      <c r="N3285" s="668" t="s">
        <v>4225</v>
      </c>
      <c r="S3285" s="670"/>
    </row>
    <row r="3286" spans="1:19">
      <c r="A3286" s="755">
        <v>4712000</v>
      </c>
      <c r="C3286" s="678"/>
      <c r="D3286" s="672"/>
      <c r="E3286" s="761" t="s">
        <v>4246</v>
      </c>
      <c r="F3286" s="757" t="s">
        <v>4232</v>
      </c>
      <c r="G3286" s="763"/>
      <c r="H3286" s="672"/>
      <c r="J3286" s="668" t="str">
        <f t="shared" si="560"/>
        <v>ER Retirement Contributions</v>
      </c>
      <c r="M3286" s="668" t="s">
        <v>4239</v>
      </c>
      <c r="N3286" s="668" t="s">
        <v>4225</v>
      </c>
      <c r="S3286" s="670"/>
    </row>
    <row r="3287" spans="1:19">
      <c r="A3287" s="755">
        <v>4713000</v>
      </c>
      <c r="C3287" s="678"/>
      <c r="D3287" s="672"/>
      <c r="E3287" s="761" t="s">
        <v>4247</v>
      </c>
      <c r="F3287" s="757" t="s">
        <v>4232</v>
      </c>
      <c r="G3287" s="763"/>
      <c r="H3287" s="672"/>
      <c r="J3287" s="668" t="str">
        <f t="shared" si="560"/>
        <v>EE Retirement Contributions</v>
      </c>
      <c r="M3287" s="668" t="s">
        <v>4239</v>
      </c>
      <c r="N3287" s="668" t="s">
        <v>4225</v>
      </c>
      <c r="S3287" s="670"/>
    </row>
    <row r="3288" spans="1:19">
      <c r="A3288" s="755">
        <v>4714000</v>
      </c>
      <c r="C3288" s="678"/>
      <c r="D3288" s="672"/>
      <c r="E3288" s="761" t="s">
        <v>4248</v>
      </c>
      <c r="F3288" s="757" t="s">
        <v>4232</v>
      </c>
      <c r="G3288" s="763"/>
      <c r="H3288" s="672"/>
      <c r="J3288" s="668" t="str">
        <f t="shared" si="560"/>
        <v>LA Unemployment Tax</v>
      </c>
      <c r="M3288" s="668" t="s">
        <v>4239</v>
      </c>
      <c r="N3288" s="668" t="s">
        <v>4225</v>
      </c>
      <c r="S3288" s="670"/>
    </row>
    <row r="3289" spans="1:19">
      <c r="A3289" s="755">
        <v>4715000</v>
      </c>
      <c r="C3289" s="678"/>
      <c r="D3289" s="672"/>
      <c r="E3289" s="761" t="s">
        <v>4249</v>
      </c>
      <c r="F3289" s="757" t="s">
        <v>4232</v>
      </c>
      <c r="G3289" s="763"/>
      <c r="H3289" s="672"/>
      <c r="J3289" s="668" t="str">
        <f t="shared" si="560"/>
        <v>FSA</v>
      </c>
      <c r="M3289" s="668" t="s">
        <v>4239</v>
      </c>
      <c r="N3289" s="668" t="s">
        <v>4225</v>
      </c>
      <c r="S3289" s="670"/>
    </row>
    <row r="3290" spans="1:19">
      <c r="A3290" s="754">
        <v>4715100</v>
      </c>
      <c r="C3290" s="678"/>
      <c r="D3290" s="672"/>
      <c r="E3290" s="761" t="s">
        <v>4250</v>
      </c>
      <c r="F3290" s="757" t="s">
        <v>4232</v>
      </c>
      <c r="G3290" s="763"/>
      <c r="H3290" s="672"/>
      <c r="J3290" s="668" t="str">
        <f t="shared" si="560"/>
        <v>DCare</v>
      </c>
      <c r="M3290" s="668" t="s">
        <v>4239</v>
      </c>
      <c r="N3290" s="668" t="s">
        <v>4225</v>
      </c>
      <c r="S3290" s="670"/>
    </row>
    <row r="3291" spans="1:19">
      <c r="A3291" s="755">
        <v>4716000</v>
      </c>
      <c r="C3291" s="678"/>
      <c r="D3291" s="672"/>
      <c r="E3291" s="761" t="s">
        <v>4251</v>
      </c>
      <c r="F3291" s="757" t="s">
        <v>4232</v>
      </c>
      <c r="G3291" s="763"/>
      <c r="H3291" s="672"/>
      <c r="J3291" s="668" t="str">
        <f t="shared" si="560"/>
        <v>Garnishments</v>
      </c>
      <c r="M3291" s="668" t="s">
        <v>4239</v>
      </c>
      <c r="N3291" s="668" t="s">
        <v>4225</v>
      </c>
      <c r="S3291" s="670"/>
    </row>
    <row r="3292" spans="1:19">
      <c r="A3292" s="754">
        <v>4717000</v>
      </c>
      <c r="C3292" s="678"/>
      <c r="D3292" s="672"/>
      <c r="E3292" s="761" t="s">
        <v>4252</v>
      </c>
      <c r="F3292" s="757" t="s">
        <v>4232</v>
      </c>
      <c r="G3292" s="763"/>
      <c r="H3292" s="672"/>
      <c r="J3292" s="668" t="str">
        <f t="shared" si="560"/>
        <v>Other Benefits</v>
      </c>
      <c r="M3292" s="668" t="s">
        <v>4239</v>
      </c>
      <c r="N3292" s="668" t="s">
        <v>4225</v>
      </c>
      <c r="S3292" s="670"/>
    </row>
    <row r="3293" spans="1:19">
      <c r="A3293" s="754">
        <v>4718000</v>
      </c>
      <c r="C3293" s="678"/>
      <c r="D3293" s="672"/>
      <c r="E3293" s="761" t="s">
        <v>4253</v>
      </c>
      <c r="F3293" s="757" t="s">
        <v>4232</v>
      </c>
      <c r="G3293" s="763"/>
      <c r="H3293" s="672"/>
      <c r="J3293" s="668" t="str">
        <f t="shared" si="560"/>
        <v>Due to Union</v>
      </c>
      <c r="M3293" s="668" t="s">
        <v>4239</v>
      </c>
      <c r="N3293" s="668" t="s">
        <v>4225</v>
      </c>
      <c r="S3293" s="670"/>
    </row>
    <row r="3294" spans="1:19">
      <c r="A3294" s="754">
        <v>4993000</v>
      </c>
      <c r="C3294" s="678"/>
      <c r="D3294" s="672"/>
      <c r="E3294" s="761" t="s">
        <v>4254</v>
      </c>
      <c r="F3294" s="757" t="s">
        <v>4232</v>
      </c>
      <c r="G3294" s="763"/>
      <c r="H3294" s="672"/>
      <c r="J3294" s="668" t="str">
        <f t="shared" si="560"/>
        <v>Due to Others</v>
      </c>
      <c r="M3294" s="668" t="s">
        <v>4239</v>
      </c>
      <c r="N3294" s="668" t="s">
        <v>4225</v>
      </c>
      <c r="S3294" s="670"/>
    </row>
    <row r="3295" spans="1:19">
      <c r="A3295" s="754">
        <v>5310000</v>
      </c>
      <c r="C3295" s="678"/>
      <c r="D3295" s="672"/>
      <c r="E3295" s="770" t="s">
        <v>4255</v>
      </c>
      <c r="F3295" s="757" t="s">
        <v>4236</v>
      </c>
      <c r="G3295" s="763"/>
      <c r="H3295" s="672"/>
      <c r="J3295" s="668" t="str">
        <f t="shared" si="560"/>
        <v>Operating Lease Liability</v>
      </c>
      <c r="M3295" s="668" t="s">
        <v>4256</v>
      </c>
      <c r="N3295" s="668" t="s">
        <v>4225</v>
      </c>
      <c r="S3295" s="670"/>
    </row>
    <row r="3296" spans="1:19">
      <c r="A3296" s="760">
        <v>5310001</v>
      </c>
      <c r="C3296" s="678"/>
      <c r="D3296" s="672"/>
      <c r="E3296" s="770" t="s">
        <v>4255</v>
      </c>
      <c r="F3296" s="757" t="s">
        <v>4236</v>
      </c>
      <c r="G3296" s="763"/>
      <c r="H3296" s="672"/>
      <c r="J3296" s="668" t="str">
        <f t="shared" si="560"/>
        <v>Operating Lease Liability</v>
      </c>
      <c r="M3296" s="668" t="s">
        <v>4256</v>
      </c>
      <c r="N3296" s="668" t="s">
        <v>4225</v>
      </c>
      <c r="S3296" s="670"/>
    </row>
    <row r="3297" spans="1:19">
      <c r="A3297" s="760">
        <v>5310002</v>
      </c>
      <c r="C3297" s="678"/>
      <c r="D3297" s="672"/>
      <c r="E3297" s="770" t="s">
        <v>4255</v>
      </c>
      <c r="F3297" s="757" t="s">
        <v>4236</v>
      </c>
      <c r="G3297" s="763"/>
      <c r="H3297" s="672"/>
      <c r="J3297" s="668" t="str">
        <f t="shared" si="560"/>
        <v>Operating Lease Liability</v>
      </c>
      <c r="M3297" s="668" t="s">
        <v>4256</v>
      </c>
      <c r="N3297" s="668" t="s">
        <v>4225</v>
      </c>
      <c r="S3297" s="670"/>
    </row>
    <row r="3298" spans="1:19">
      <c r="A3298" s="760">
        <v>5310003</v>
      </c>
      <c r="C3298" s="678"/>
      <c r="D3298" s="672"/>
      <c r="E3298" s="770" t="s">
        <v>4255</v>
      </c>
      <c r="F3298" s="757" t="s">
        <v>4236</v>
      </c>
      <c r="G3298" s="763"/>
      <c r="H3298" s="672"/>
      <c r="J3298" s="668" t="str">
        <f t="shared" si="560"/>
        <v>Operating Lease Liability</v>
      </c>
      <c r="M3298" s="668" t="s">
        <v>4256</v>
      </c>
      <c r="N3298" s="668" t="s">
        <v>4225</v>
      </c>
      <c r="S3298" s="670"/>
    </row>
    <row r="3299" spans="1:19">
      <c r="A3299" s="760">
        <v>5310004</v>
      </c>
      <c r="C3299" s="678"/>
      <c r="D3299" s="672"/>
      <c r="E3299" s="770" t="s">
        <v>4255</v>
      </c>
      <c r="F3299" s="757" t="s">
        <v>4236</v>
      </c>
      <c r="G3299" s="763"/>
      <c r="H3299" s="672"/>
      <c r="J3299" s="668" t="str">
        <f t="shared" si="560"/>
        <v>Operating Lease Liability</v>
      </c>
      <c r="M3299" s="668" t="s">
        <v>4256</v>
      </c>
      <c r="N3299" s="668" t="s">
        <v>4225</v>
      </c>
      <c r="S3299" s="670"/>
    </row>
    <row r="3300" spans="1:19">
      <c r="A3300" s="755"/>
      <c r="C3300" s="678"/>
      <c r="D3300" s="672"/>
      <c r="E3300" s="672"/>
      <c r="G3300" s="763"/>
      <c r="H3300" s="672"/>
      <c r="J3300" s="668">
        <f t="shared" si="560"/>
        <v>0</v>
      </c>
      <c r="S3300" s="670"/>
    </row>
    <row r="3301" spans="1:19">
      <c r="A3301" s="755"/>
      <c r="C3301" s="678">
        <v>9</v>
      </c>
      <c r="D3301" s="672"/>
      <c r="E3301" s="672" t="s">
        <v>4257</v>
      </c>
      <c r="F3301" s="757" t="s">
        <v>4258</v>
      </c>
      <c r="G3301" s="763">
        <v>-511</v>
      </c>
      <c r="H3301" s="672"/>
      <c r="J3301" s="668" t="str">
        <f t="shared" si="560"/>
        <v>Bonded Debt</v>
      </c>
      <c r="M3301" s="668" t="s">
        <v>4229</v>
      </c>
      <c r="N3301" s="668" t="s">
        <v>4225</v>
      </c>
      <c r="S3301" s="670"/>
    </row>
    <row r="3302" spans="1:19">
      <c r="A3302" s="755"/>
      <c r="C3302" s="678">
        <v>10</v>
      </c>
      <c r="D3302" s="672"/>
      <c r="E3302" s="672" t="s">
        <v>4259</v>
      </c>
      <c r="F3302" s="757" t="s">
        <v>4260</v>
      </c>
      <c r="G3302" s="763">
        <v>-551</v>
      </c>
      <c r="H3302" s="672"/>
      <c r="J3302" s="668" t="str">
        <f t="shared" si="560"/>
        <v>Vested Compensated Absences</v>
      </c>
      <c r="M3302" s="668" t="s">
        <v>4261</v>
      </c>
      <c r="N3302" s="668" t="s">
        <v>4225</v>
      </c>
      <c r="S3302" s="670"/>
    </row>
    <row r="3303" spans="1:19">
      <c r="A3303" s="755"/>
      <c r="B3303" s="761"/>
      <c r="C3303" s="678">
        <v>11</v>
      </c>
      <c r="D3303" s="672"/>
      <c r="E3303" s="672" t="s">
        <v>4262</v>
      </c>
      <c r="F3303" s="757" t="s">
        <v>4236</v>
      </c>
      <c r="G3303" s="763" t="s">
        <v>4263</v>
      </c>
      <c r="H3303" s="672"/>
      <c r="J3303" s="668" t="str">
        <f t="shared" si="560"/>
        <v>Other Long-Term Obligations</v>
      </c>
      <c r="M3303" s="668" t="s">
        <v>4261</v>
      </c>
      <c r="N3303" s="668" t="s">
        <v>4225</v>
      </c>
      <c r="S3303" s="670"/>
    </row>
    <row r="3304" spans="1:19">
      <c r="A3304" s="771">
        <v>5320000</v>
      </c>
      <c r="D3304" s="672"/>
      <c r="E3304" s="772" t="s">
        <v>4264</v>
      </c>
      <c r="F3304" s="757"/>
      <c r="G3304" s="763"/>
      <c r="H3304" s="672"/>
      <c r="J3304" s="668" t="str">
        <f t="shared" si="560"/>
        <v>Accrued Lease Obligation (LT)</v>
      </c>
      <c r="M3304" s="668" t="s">
        <v>4265</v>
      </c>
      <c r="N3304" s="668" t="s">
        <v>4225</v>
      </c>
      <c r="S3304" s="670"/>
    </row>
    <row r="3305" spans="1:19" ht="16" thickBot="1">
      <c r="A3305" s="755">
        <v>4513000</v>
      </c>
      <c r="C3305" s="678"/>
      <c r="D3305" s="672"/>
      <c r="E3305" s="761" t="s">
        <v>4266</v>
      </c>
      <c r="F3305" s="757" t="s">
        <v>4236</v>
      </c>
      <c r="G3305" s="763"/>
      <c r="H3305" s="672"/>
      <c r="J3305" s="668" t="str">
        <f t="shared" si="560"/>
        <v>Senior Debt</v>
      </c>
      <c r="M3305" s="668" t="s">
        <v>4229</v>
      </c>
      <c r="N3305" s="765" t="s">
        <v>4230</v>
      </c>
      <c r="S3305" s="670"/>
    </row>
    <row r="3306" spans="1:19" ht="16.5" thickTop="1" thickBot="1">
      <c r="A3306" s="755"/>
      <c r="B3306" s="767"/>
      <c r="C3306" s="929" t="s">
        <v>4267</v>
      </c>
      <c r="D3306" s="930"/>
      <c r="E3306" s="707"/>
      <c r="G3306" s="768"/>
      <c r="H3306" s="672"/>
      <c r="S3306" s="670"/>
    </row>
    <row r="3307" spans="1:19" ht="16" thickTop="1">
      <c r="A3307" s="755"/>
      <c r="B3307" s="734"/>
      <c r="C3307" s="672"/>
      <c r="D3307" s="672"/>
      <c r="E3307" s="676"/>
      <c r="G3307" s="756"/>
      <c r="H3307" s="672"/>
      <c r="S3307" s="670"/>
    </row>
    <row r="3308" spans="1:19">
      <c r="A3308" s="755"/>
      <c r="B3308" s="734"/>
      <c r="C3308" s="921" t="s">
        <v>4137</v>
      </c>
      <c r="D3308" s="795"/>
      <c r="E3308" s="676"/>
      <c r="G3308" s="756"/>
      <c r="H3308" s="672"/>
      <c r="S3308" s="670"/>
    </row>
    <row r="3309" spans="1:19">
      <c r="A3309" s="755"/>
      <c r="B3309" s="734"/>
      <c r="C3309" s="678">
        <v>12</v>
      </c>
      <c r="D3309" s="672"/>
      <c r="E3309" s="672" t="s">
        <v>4268</v>
      </c>
      <c r="F3309" s="757" t="s">
        <v>4269</v>
      </c>
      <c r="G3309" s="758">
        <v>-790</v>
      </c>
      <c r="H3309" s="672"/>
      <c r="S3309" s="670"/>
    </row>
    <row r="3310" spans="1:19">
      <c r="A3310" s="755"/>
      <c r="B3310" s="734"/>
      <c r="C3310" s="678">
        <v>13</v>
      </c>
      <c r="D3310" s="672"/>
      <c r="E3310" s="672" t="s">
        <v>4270</v>
      </c>
      <c r="F3310" s="675"/>
      <c r="G3310" s="672"/>
      <c r="H3310" s="672"/>
      <c r="S3310" s="670"/>
    </row>
    <row r="3311" spans="1:19">
      <c r="A3311" s="754">
        <v>7300000</v>
      </c>
      <c r="C3311" s="672"/>
      <c r="D3311" s="672"/>
      <c r="E3311" s="672" t="s">
        <v>4271</v>
      </c>
      <c r="F3311" s="757" t="s">
        <v>4272</v>
      </c>
      <c r="G3311" s="763">
        <v>-795</v>
      </c>
      <c r="H3311" s="672"/>
      <c r="J3311" s="668" t="str">
        <f>E3311</f>
        <v>a. Restricted Fund Balance</v>
      </c>
      <c r="M3311" s="668" t="s">
        <v>4273</v>
      </c>
      <c r="N3311" s="765" t="s">
        <v>4274</v>
      </c>
      <c r="S3311" s="670"/>
    </row>
    <row r="3312" spans="1:19">
      <c r="A3312" s="755"/>
      <c r="C3312" s="672"/>
      <c r="D3312" s="672"/>
      <c r="E3312" s="672" t="s">
        <v>4275</v>
      </c>
      <c r="F3312" s="757" t="s">
        <v>4276</v>
      </c>
      <c r="G3312" s="763">
        <v>-796</v>
      </c>
      <c r="H3312" s="672"/>
      <c r="S3312" s="670"/>
    </row>
    <row r="3313" spans="1:19">
      <c r="A3313" s="754">
        <v>7000000</v>
      </c>
      <c r="B3313" s="761" t="s">
        <v>4277</v>
      </c>
      <c r="C3313" s="672"/>
      <c r="D3313" s="672"/>
      <c r="E3313" s="672" t="s">
        <v>4278</v>
      </c>
      <c r="F3313" s="757" t="s">
        <v>4279</v>
      </c>
      <c r="G3313" s="763">
        <v>-797</v>
      </c>
      <c r="H3313" s="672"/>
      <c r="J3313" s="668" t="str">
        <f t="shared" ref="J3313:J3314" si="561">E3313</f>
        <v>c. Assigned Fund Balance</v>
      </c>
      <c r="M3313" s="668" t="s">
        <v>4280</v>
      </c>
      <c r="S3313" s="670"/>
    </row>
    <row r="3314" spans="1:19">
      <c r="A3314" s="754">
        <v>7400000</v>
      </c>
      <c r="B3314" s="761" t="s">
        <v>4281</v>
      </c>
      <c r="C3314" s="672"/>
      <c r="D3314" s="672"/>
      <c r="E3314" s="672" t="s">
        <v>4282</v>
      </c>
      <c r="F3314" s="757" t="s">
        <v>4283</v>
      </c>
      <c r="G3314" s="763">
        <v>-798</v>
      </c>
      <c r="H3314" s="672"/>
      <c r="J3314" s="668" t="str">
        <f t="shared" si="561"/>
        <v>d. Unassigned Fund Balance</v>
      </c>
      <c r="M3314" s="668" t="s">
        <v>4280</v>
      </c>
      <c r="S3314" s="670"/>
    </row>
    <row r="3315" spans="1:19">
      <c r="A3315" s="720" t="s">
        <v>4284</v>
      </c>
      <c r="B3315" s="720" t="s">
        <v>4284</v>
      </c>
      <c r="C3315" s="672"/>
      <c r="D3315" s="672"/>
      <c r="E3315" s="672"/>
      <c r="G3315" s="672"/>
      <c r="H3315" s="672"/>
      <c r="M3315" s="668" t="s">
        <v>4280</v>
      </c>
      <c r="S3315" s="670"/>
    </row>
    <row r="3316" spans="1:19">
      <c r="A3316" s="754" t="s">
        <v>568</v>
      </c>
      <c r="B3316" s="720" t="s">
        <v>568</v>
      </c>
      <c r="C3316" s="672"/>
      <c r="D3316" s="672"/>
      <c r="E3316" s="672"/>
      <c r="G3316" s="672"/>
      <c r="H3316" s="672"/>
      <c r="M3316" s="668" t="s">
        <v>4280</v>
      </c>
      <c r="S3316" s="670"/>
    </row>
    <row r="3317" spans="1:19">
      <c r="A3317" s="754" t="s">
        <v>4285</v>
      </c>
      <c r="B3317" s="720" t="s">
        <v>4285</v>
      </c>
      <c r="C3317" s="672"/>
      <c r="D3317" s="672"/>
      <c r="E3317" s="672"/>
      <c r="G3317" s="672"/>
      <c r="H3317" s="672"/>
      <c r="S3317" s="670"/>
    </row>
    <row r="3318" spans="1:19">
      <c r="A3318" s="755"/>
      <c r="B3318" s="672"/>
      <c r="C3318" s="672"/>
      <c r="D3318" s="672"/>
      <c r="E3318" s="672"/>
      <c r="G3318" s="672"/>
      <c r="H3318" s="672"/>
      <c r="S3318" s="670"/>
    </row>
    <row r="3319" spans="1:19">
      <c r="A3319" s="755"/>
      <c r="B3319" s="672"/>
      <c r="C3319" s="672"/>
      <c r="D3319" s="672"/>
      <c r="E3319" s="672"/>
      <c r="G3319" s="672"/>
      <c r="H3319" s="672"/>
      <c r="S3319" s="670"/>
    </row>
    <row r="3320" spans="1:19">
      <c r="A3320" s="755"/>
      <c r="B3320" s="672"/>
      <c r="C3320" s="672"/>
      <c r="D3320" s="672"/>
      <c r="E3320" s="672"/>
      <c r="G3320" s="672"/>
      <c r="H3320" s="672"/>
      <c r="S3320" s="670"/>
    </row>
    <row r="3321" spans="1:19">
      <c r="A3321" s="755"/>
      <c r="B3321" s="672"/>
      <c r="C3321" s="672"/>
      <c r="D3321" s="672"/>
      <c r="E3321" s="672"/>
      <c r="G3321" s="672"/>
      <c r="H3321" s="672"/>
      <c r="S3321" s="670"/>
    </row>
    <row r="3322" spans="1:19">
      <c r="A3322" s="755"/>
      <c r="B3322" s="672"/>
      <c r="C3322" s="672"/>
      <c r="D3322" s="672"/>
      <c r="E3322" s="672"/>
      <c r="G3322" s="672"/>
      <c r="H3322" s="672"/>
      <c r="S3322" s="670"/>
    </row>
    <row r="3323" spans="1:19">
      <c r="A3323" s="755"/>
      <c r="B3323" s="672"/>
      <c r="C3323" s="672"/>
      <c r="D3323" s="672"/>
      <c r="E3323" s="672"/>
      <c r="G3323" s="672"/>
      <c r="H3323" s="672"/>
      <c r="S3323" s="670"/>
    </row>
    <row r="3324" spans="1:19">
      <c r="A3324" s="755"/>
      <c r="B3324" s="672"/>
      <c r="C3324" s="672"/>
      <c r="D3324" s="672"/>
      <c r="E3324" s="672"/>
      <c r="G3324" s="672"/>
      <c r="H3324" s="672"/>
      <c r="S3324" s="670"/>
    </row>
    <row r="3325" spans="1:19">
      <c r="A3325" s="755"/>
      <c r="B3325" s="672"/>
      <c r="C3325" s="672"/>
      <c r="D3325" s="672"/>
      <c r="E3325" s="672"/>
      <c r="G3325" s="672"/>
      <c r="H3325" s="672"/>
      <c r="S3325" s="670"/>
    </row>
    <row r="3326" spans="1:19">
      <c r="A3326" s="755"/>
      <c r="B3326" s="672"/>
      <c r="C3326" s="672"/>
      <c r="D3326" s="672"/>
      <c r="E3326" s="672"/>
      <c r="G3326" s="672"/>
      <c r="H3326" s="672"/>
      <c r="S3326" s="670"/>
    </row>
    <row r="3327" spans="1:19">
      <c r="A3327" s="755"/>
      <c r="B3327" s="672"/>
      <c r="C3327" s="672"/>
      <c r="D3327" s="672"/>
      <c r="E3327" s="672"/>
      <c r="G3327" s="672"/>
      <c r="H3327" s="672"/>
      <c r="S3327" s="670"/>
    </row>
    <row r="3328" spans="1:19">
      <c r="A3328" s="755"/>
      <c r="B3328" s="672"/>
      <c r="C3328" s="672"/>
      <c r="D3328" s="672"/>
      <c r="E3328" s="672"/>
      <c r="G3328" s="672"/>
      <c r="H3328" s="672"/>
      <c r="S3328" s="670"/>
    </row>
    <row r="3329" spans="1:19">
      <c r="A3329" s="755"/>
      <c r="B3329" s="672"/>
      <c r="C3329" s="672"/>
      <c r="D3329" s="672"/>
      <c r="E3329" s="672"/>
      <c r="G3329" s="672"/>
      <c r="H3329" s="672"/>
      <c r="S3329" s="670"/>
    </row>
    <row r="3330" spans="1:19">
      <c r="A3330" s="755"/>
      <c r="B3330" s="672"/>
      <c r="C3330" s="672"/>
      <c r="D3330" s="672"/>
      <c r="E3330" s="672"/>
      <c r="G3330" s="672"/>
      <c r="H3330" s="672"/>
      <c r="S3330" s="670"/>
    </row>
    <row r="3331" spans="1:19">
      <c r="A3331" s="755"/>
      <c r="B3331" s="672"/>
      <c r="C3331" s="672"/>
      <c r="D3331" s="672"/>
      <c r="E3331" s="672"/>
      <c r="G3331" s="672"/>
      <c r="H3331" s="672"/>
      <c r="S3331" s="670"/>
    </row>
    <row r="3332" spans="1:19">
      <c r="A3332" s="755"/>
      <c r="B3332" s="672"/>
      <c r="C3332" s="672"/>
      <c r="D3332" s="672"/>
      <c r="E3332" s="672"/>
      <c r="G3332" s="672"/>
      <c r="H3332" s="672"/>
      <c r="S3332" s="670"/>
    </row>
    <row r="3333" spans="1:19">
      <c r="A3333" s="755"/>
      <c r="B3333" s="672"/>
      <c r="C3333" s="773"/>
      <c r="D3333" s="761"/>
      <c r="E3333" s="672"/>
      <c r="G3333" s="672"/>
      <c r="H3333" s="672"/>
      <c r="S3333" s="670"/>
    </row>
    <row r="3334" spans="1:19">
      <c r="A3334" s="755"/>
      <c r="B3334" s="672"/>
      <c r="E3334" s="672"/>
      <c r="G3334" s="672"/>
      <c r="H3334" s="672"/>
      <c r="S3334" s="670"/>
    </row>
    <row r="3335" spans="1:19">
      <c r="A3335" s="755"/>
      <c r="B3335" s="672"/>
      <c r="E3335" s="672"/>
      <c r="G3335" s="672"/>
      <c r="H3335" s="672"/>
      <c r="S3335" s="670"/>
    </row>
    <row r="3336" spans="1:19">
      <c r="A3336" s="755"/>
      <c r="B3336" s="672"/>
      <c r="E3336" s="672"/>
      <c r="G3336" s="672"/>
      <c r="H3336" s="672"/>
      <c r="S3336" s="670"/>
    </row>
    <row r="3337" spans="1:19">
      <c r="A3337" s="755"/>
      <c r="B3337" s="672"/>
      <c r="E3337" s="672"/>
      <c r="G3337" s="672"/>
      <c r="H3337" s="672"/>
      <c r="S3337" s="670"/>
    </row>
    <row r="3338" spans="1:19">
      <c r="A3338" s="755"/>
      <c r="B3338" s="672"/>
      <c r="E3338" s="672"/>
      <c r="G3338" s="672"/>
      <c r="H3338" s="672"/>
      <c r="S3338" s="670"/>
    </row>
    <row r="3339" spans="1:19">
      <c r="A3339" s="755"/>
      <c r="B3339" s="672"/>
      <c r="E3339" s="672"/>
      <c r="G3339" s="672"/>
      <c r="H3339" s="672"/>
      <c r="S3339" s="670"/>
    </row>
    <row r="3340" spans="1:19">
      <c r="A3340" s="755"/>
      <c r="B3340" s="672"/>
      <c r="C3340" s="672"/>
      <c r="D3340" s="672"/>
      <c r="E3340" s="672"/>
      <c r="G3340" s="672"/>
      <c r="H3340" s="672"/>
      <c r="S3340" s="670"/>
    </row>
    <row r="3341" spans="1:19">
      <c r="A3341" s="755"/>
      <c r="B3341" s="672"/>
      <c r="C3341" s="672"/>
      <c r="D3341" s="672"/>
      <c r="E3341" s="672"/>
      <c r="G3341" s="672"/>
      <c r="H3341" s="672"/>
      <c r="S3341" s="670"/>
    </row>
    <row r="3342" spans="1:19">
      <c r="A3342" s="755"/>
      <c r="B3342" s="672"/>
      <c r="C3342" s="672"/>
      <c r="D3342" s="672"/>
      <c r="E3342" s="672"/>
      <c r="G3342" s="672"/>
      <c r="H3342" s="672"/>
      <c r="S3342" s="670"/>
    </row>
    <row r="3343" spans="1:19">
      <c r="A3343" s="755"/>
      <c r="B3343" s="672"/>
      <c r="C3343" s="672"/>
      <c r="D3343" s="672"/>
      <c r="E3343" s="672"/>
      <c r="G3343" s="672"/>
      <c r="H3343" s="672"/>
      <c r="S3343" s="670"/>
    </row>
    <row r="3344" spans="1:19">
      <c r="A3344" s="755"/>
      <c r="B3344" s="672"/>
      <c r="C3344" s="672"/>
      <c r="D3344" s="672"/>
      <c r="E3344" s="672"/>
      <c r="G3344" s="672"/>
      <c r="H3344" s="672"/>
      <c r="S3344" s="670"/>
    </row>
    <row r="3345" spans="1:19">
      <c r="A3345" s="755"/>
      <c r="B3345" s="672"/>
      <c r="C3345" s="672"/>
      <c r="D3345" s="672"/>
      <c r="E3345" s="672"/>
      <c r="G3345" s="672"/>
      <c r="H3345" s="672"/>
      <c r="S3345" s="670"/>
    </row>
    <row r="3346" spans="1:19">
      <c r="A3346" s="755"/>
      <c r="B3346" s="672"/>
      <c r="C3346" s="672"/>
      <c r="D3346" s="672"/>
      <c r="E3346" s="672"/>
      <c r="G3346" s="672"/>
      <c r="H3346" s="672"/>
      <c r="S3346" s="670"/>
    </row>
    <row r="3347" spans="1:19">
      <c r="A3347" s="755"/>
      <c r="B3347" s="672"/>
      <c r="C3347" s="672"/>
      <c r="D3347" s="672"/>
      <c r="E3347" s="672"/>
      <c r="G3347" s="672"/>
      <c r="H3347" s="672"/>
      <c r="S3347" s="670"/>
    </row>
    <row r="3348" spans="1:19">
      <c r="A3348" s="755"/>
      <c r="B3348" s="672"/>
      <c r="C3348" s="672"/>
      <c r="D3348" s="672"/>
      <c r="E3348" s="672"/>
      <c r="G3348" s="672"/>
      <c r="H3348" s="672"/>
      <c r="S3348" s="670"/>
    </row>
    <row r="3349" spans="1:19">
      <c r="A3349" s="755"/>
      <c r="B3349" s="672"/>
      <c r="C3349" s="672"/>
      <c r="D3349" s="672"/>
      <c r="E3349" s="672"/>
      <c r="G3349" s="672"/>
      <c r="H3349" s="672"/>
      <c r="S3349" s="670"/>
    </row>
    <row r="3350" spans="1:19">
      <c r="A3350" s="755"/>
      <c r="B3350" s="672"/>
      <c r="C3350" s="672"/>
      <c r="D3350" s="672"/>
      <c r="E3350" s="672"/>
      <c r="G3350" s="672"/>
      <c r="H3350" s="672"/>
      <c r="S3350" s="670"/>
    </row>
    <row r="3351" spans="1:19">
      <c r="A3351" s="755"/>
      <c r="B3351" s="672"/>
      <c r="C3351" s="672"/>
      <c r="D3351" s="672"/>
      <c r="E3351" s="672"/>
      <c r="G3351" s="672"/>
      <c r="H3351" s="672"/>
      <c r="S3351" s="670"/>
    </row>
    <row r="3352" spans="1:19">
      <c r="A3352" s="755"/>
      <c r="B3352" s="672"/>
      <c r="C3352" s="672"/>
      <c r="D3352" s="672"/>
      <c r="E3352" s="672"/>
      <c r="G3352" s="672"/>
      <c r="H3352" s="672"/>
      <c r="S3352" s="670"/>
    </row>
    <row r="3353" spans="1:19">
      <c r="A3353" s="755"/>
      <c r="B3353" s="672"/>
      <c r="C3353" s="672"/>
      <c r="D3353" s="672"/>
      <c r="E3353" s="672"/>
      <c r="G3353" s="672"/>
      <c r="H3353" s="672"/>
      <c r="S3353" s="670"/>
    </row>
    <row r="3354" spans="1:19">
      <c r="A3354" s="755"/>
      <c r="B3354" s="672"/>
      <c r="C3354" s="672"/>
      <c r="D3354" s="672"/>
      <c r="E3354" s="672"/>
      <c r="G3354" s="672"/>
      <c r="H3354" s="672"/>
      <c r="S3354" s="670"/>
    </row>
    <row r="3355" spans="1:19">
      <c r="A3355" s="755"/>
      <c r="B3355" s="672"/>
      <c r="C3355" s="672"/>
      <c r="D3355" s="672"/>
      <c r="E3355" s="672"/>
      <c r="G3355" s="672"/>
      <c r="H3355" s="672"/>
      <c r="S3355" s="670"/>
    </row>
    <row r="3356" spans="1:19">
      <c r="A3356" s="755"/>
      <c r="B3356" s="672"/>
      <c r="C3356" s="672"/>
      <c r="D3356" s="672"/>
      <c r="E3356" s="672"/>
      <c r="G3356" s="672"/>
      <c r="H3356" s="672"/>
      <c r="S3356" s="670"/>
    </row>
    <row r="3357" spans="1:19">
      <c r="A3357" s="755"/>
      <c r="B3357" s="672"/>
      <c r="C3357" s="672"/>
      <c r="D3357" s="672"/>
      <c r="E3357" s="672"/>
      <c r="G3357" s="672"/>
      <c r="H3357" s="672"/>
      <c r="S3357" s="670"/>
    </row>
    <row r="3358" spans="1:19">
      <c r="A3358" s="755"/>
      <c r="B3358" s="672"/>
      <c r="C3358" s="672"/>
      <c r="D3358" s="672"/>
      <c r="E3358" s="672"/>
      <c r="G3358" s="672"/>
      <c r="H3358" s="672"/>
      <c r="S3358" s="670"/>
    </row>
    <row r="3359" spans="1:19">
      <c r="A3359" s="755"/>
      <c r="B3359" s="672"/>
      <c r="C3359" s="672"/>
      <c r="D3359" s="672"/>
      <c r="E3359" s="672"/>
      <c r="G3359" s="672"/>
      <c r="H3359" s="672"/>
      <c r="S3359" s="670"/>
    </row>
    <row r="3360" spans="1:19">
      <c r="A3360" s="755"/>
      <c r="B3360" s="672"/>
      <c r="C3360" s="672"/>
      <c r="D3360" s="672"/>
      <c r="E3360" s="672"/>
      <c r="G3360" s="672"/>
      <c r="H3360" s="672"/>
      <c r="S3360" s="670"/>
    </row>
    <row r="3361" spans="1:19">
      <c r="A3361" s="755"/>
      <c r="B3361" s="672"/>
      <c r="C3361" s="672"/>
      <c r="D3361" s="672"/>
      <c r="E3361" s="672"/>
      <c r="G3361" s="672"/>
      <c r="H3361" s="672"/>
      <c r="S3361" s="670"/>
    </row>
    <row r="3362" spans="1:19">
      <c r="A3362" s="755"/>
      <c r="B3362" s="672"/>
      <c r="C3362" s="672"/>
      <c r="D3362" s="672"/>
      <c r="E3362" s="672"/>
      <c r="G3362" s="672"/>
      <c r="H3362" s="672"/>
      <c r="S3362" s="670"/>
    </row>
    <row r="3363" spans="1:19">
      <c r="A3363" s="755"/>
      <c r="B3363" s="672"/>
      <c r="C3363" s="672"/>
      <c r="D3363" s="672"/>
      <c r="E3363" s="672"/>
      <c r="G3363" s="672"/>
      <c r="H3363" s="672"/>
      <c r="S3363" s="670"/>
    </row>
    <row r="3364" spans="1:19">
      <c r="A3364" s="755"/>
      <c r="B3364" s="672"/>
      <c r="C3364" s="672"/>
      <c r="D3364" s="672"/>
      <c r="E3364" s="672"/>
      <c r="G3364" s="672"/>
      <c r="H3364" s="672"/>
      <c r="S3364" s="670"/>
    </row>
    <row r="3365" spans="1:19">
      <c r="A3365" s="755"/>
      <c r="B3365" s="672"/>
      <c r="C3365" s="672"/>
      <c r="D3365" s="672"/>
      <c r="E3365" s="672"/>
      <c r="G3365" s="672"/>
      <c r="H3365" s="672"/>
      <c r="S3365" s="670"/>
    </row>
    <row r="3366" spans="1:19">
      <c r="A3366" s="755"/>
      <c r="B3366" s="672"/>
      <c r="C3366" s="672"/>
      <c r="D3366" s="672"/>
      <c r="E3366" s="672"/>
      <c r="G3366" s="672"/>
      <c r="H3366" s="672"/>
      <c r="S3366" s="670"/>
    </row>
    <row r="3367" spans="1:19">
      <c r="A3367" s="755"/>
      <c r="B3367" s="672"/>
      <c r="C3367" s="672"/>
      <c r="D3367" s="672"/>
      <c r="E3367" s="672"/>
      <c r="G3367" s="672"/>
      <c r="H3367" s="672"/>
      <c r="S3367" s="670"/>
    </row>
    <row r="3368" spans="1:19">
      <c r="A3368" s="755"/>
      <c r="B3368" s="672"/>
      <c r="C3368" s="672"/>
      <c r="D3368" s="672"/>
      <c r="E3368" s="672"/>
      <c r="G3368" s="672"/>
      <c r="H3368" s="672"/>
      <c r="S3368" s="670"/>
    </row>
    <row r="3369" spans="1:19">
      <c r="A3369" s="755"/>
      <c r="B3369" s="672"/>
      <c r="C3369" s="672"/>
      <c r="D3369" s="672"/>
      <c r="E3369" s="672"/>
      <c r="G3369" s="672"/>
      <c r="H3369" s="672"/>
      <c r="S3369" s="670"/>
    </row>
    <row r="3370" spans="1:19">
      <c r="A3370" s="755"/>
      <c r="B3370" s="672"/>
      <c r="C3370" s="672"/>
      <c r="D3370" s="672"/>
      <c r="E3370" s="672"/>
      <c r="G3370" s="672"/>
      <c r="H3370" s="672"/>
      <c r="S3370" s="670"/>
    </row>
    <row r="3371" spans="1:19">
      <c r="A3371" s="755"/>
      <c r="B3371" s="672"/>
      <c r="C3371" s="672"/>
      <c r="D3371" s="672"/>
      <c r="E3371" s="672"/>
      <c r="G3371" s="672"/>
      <c r="H3371" s="672"/>
      <c r="S3371" s="670"/>
    </row>
    <row r="3372" spans="1:19">
      <c r="A3372" s="755"/>
      <c r="B3372" s="672"/>
      <c r="C3372" s="672"/>
      <c r="D3372" s="672"/>
      <c r="E3372" s="672"/>
      <c r="G3372" s="672"/>
      <c r="H3372" s="672"/>
      <c r="S3372" s="670"/>
    </row>
    <row r="3373" spans="1:19">
      <c r="A3373" s="755"/>
      <c r="B3373" s="672"/>
      <c r="C3373" s="672"/>
      <c r="D3373" s="672"/>
      <c r="E3373" s="672"/>
      <c r="G3373" s="672"/>
      <c r="H3373" s="672"/>
      <c r="S3373" s="670"/>
    </row>
    <row r="3374" spans="1:19">
      <c r="A3374" s="755"/>
      <c r="B3374" s="672"/>
      <c r="C3374" s="672"/>
      <c r="D3374" s="672"/>
      <c r="E3374" s="672"/>
      <c r="G3374" s="672"/>
      <c r="H3374" s="672"/>
      <c r="S3374" s="670"/>
    </row>
    <row r="3375" spans="1:19">
      <c r="A3375" s="755"/>
      <c r="B3375" s="672"/>
      <c r="C3375" s="672"/>
      <c r="D3375" s="672"/>
      <c r="E3375" s="672"/>
      <c r="G3375" s="672"/>
      <c r="H3375" s="672"/>
      <c r="S3375" s="670"/>
    </row>
    <row r="3376" spans="1:19">
      <c r="A3376" s="755"/>
      <c r="B3376" s="672"/>
      <c r="C3376" s="672"/>
      <c r="D3376" s="672"/>
      <c r="E3376" s="672"/>
      <c r="G3376" s="672"/>
      <c r="H3376" s="672"/>
      <c r="S3376" s="670"/>
    </row>
    <row r="3377" spans="1:19">
      <c r="A3377" s="755"/>
      <c r="B3377" s="672"/>
      <c r="C3377" s="672"/>
      <c r="D3377" s="672"/>
      <c r="E3377" s="672"/>
      <c r="G3377" s="672"/>
      <c r="H3377" s="672"/>
      <c r="S3377" s="670"/>
    </row>
    <row r="3378" spans="1:19">
      <c r="A3378" s="755"/>
      <c r="B3378" s="672"/>
      <c r="C3378" s="672"/>
      <c r="D3378" s="672"/>
      <c r="E3378" s="672"/>
      <c r="G3378" s="672"/>
      <c r="H3378" s="672"/>
      <c r="S3378" s="670"/>
    </row>
    <row r="3379" spans="1:19">
      <c r="A3379" s="755"/>
      <c r="B3379" s="672"/>
      <c r="C3379" s="672"/>
      <c r="D3379" s="672"/>
      <c r="E3379" s="672"/>
      <c r="G3379" s="672"/>
      <c r="H3379" s="672"/>
      <c r="S3379" s="670"/>
    </row>
    <row r="3380" spans="1:19">
      <c r="A3380" s="755"/>
      <c r="B3380" s="672"/>
      <c r="C3380" s="672"/>
      <c r="D3380" s="672"/>
      <c r="E3380" s="672"/>
      <c r="G3380" s="672"/>
      <c r="H3380" s="672"/>
      <c r="S3380" s="670"/>
    </row>
    <row r="3381" spans="1:19">
      <c r="A3381" s="755"/>
      <c r="B3381" s="672"/>
      <c r="C3381" s="672"/>
      <c r="D3381" s="672"/>
      <c r="E3381" s="672"/>
      <c r="G3381" s="672"/>
      <c r="H3381" s="672"/>
      <c r="S3381" s="670"/>
    </row>
    <row r="3382" spans="1:19">
      <c r="A3382" s="755"/>
      <c r="B3382" s="672"/>
      <c r="C3382" s="672"/>
      <c r="D3382" s="672"/>
      <c r="E3382" s="672"/>
      <c r="G3382" s="672"/>
      <c r="H3382" s="672"/>
      <c r="S3382" s="670"/>
    </row>
    <row r="3383" spans="1:19">
      <c r="A3383" s="755"/>
      <c r="B3383" s="672"/>
      <c r="C3383" s="672"/>
      <c r="D3383" s="672"/>
      <c r="E3383" s="672"/>
      <c r="G3383" s="672"/>
      <c r="H3383" s="672"/>
      <c r="S3383" s="670"/>
    </row>
    <row r="3384" spans="1:19">
      <c r="A3384" s="755"/>
      <c r="B3384" s="672"/>
      <c r="C3384" s="672"/>
      <c r="D3384" s="672"/>
      <c r="E3384" s="672"/>
      <c r="G3384" s="672"/>
      <c r="H3384" s="672"/>
      <c r="S3384" s="670"/>
    </row>
    <row r="3385" spans="1:19">
      <c r="A3385" s="755"/>
      <c r="B3385" s="672"/>
      <c r="C3385" s="672"/>
      <c r="D3385" s="672"/>
      <c r="E3385" s="672"/>
      <c r="G3385" s="672"/>
      <c r="H3385" s="672"/>
      <c r="S3385" s="670"/>
    </row>
    <row r="3386" spans="1:19">
      <c r="A3386" s="755"/>
      <c r="B3386" s="672"/>
      <c r="C3386" s="672"/>
      <c r="D3386" s="672"/>
      <c r="E3386" s="672"/>
      <c r="G3386" s="672"/>
      <c r="H3386" s="672"/>
      <c r="S3386" s="670"/>
    </row>
    <row r="3387" spans="1:19">
      <c r="A3387" s="755"/>
      <c r="B3387" s="672"/>
      <c r="C3387" s="672"/>
      <c r="D3387" s="672"/>
      <c r="E3387" s="672"/>
      <c r="G3387" s="672"/>
      <c r="H3387" s="672"/>
      <c r="S3387" s="670"/>
    </row>
    <row r="3388" spans="1:19">
      <c r="A3388" s="755"/>
      <c r="B3388" s="672"/>
      <c r="C3388" s="672"/>
      <c r="D3388" s="672"/>
      <c r="E3388" s="672"/>
      <c r="G3388" s="672"/>
      <c r="H3388" s="672"/>
      <c r="S3388" s="670"/>
    </row>
    <row r="3389" spans="1:19">
      <c r="A3389" s="755"/>
      <c r="B3389" s="672"/>
      <c r="C3389" s="672"/>
      <c r="D3389" s="672"/>
      <c r="E3389" s="672"/>
      <c r="G3389" s="672"/>
      <c r="H3389" s="672"/>
      <c r="S3389" s="670"/>
    </row>
    <row r="3390" spans="1:19">
      <c r="A3390" s="755"/>
      <c r="B3390" s="672"/>
      <c r="C3390" s="672"/>
      <c r="D3390" s="672"/>
      <c r="E3390" s="672"/>
      <c r="G3390" s="672"/>
      <c r="H3390" s="672"/>
      <c r="S3390" s="670"/>
    </row>
    <row r="3391" spans="1:19">
      <c r="A3391" s="755"/>
      <c r="B3391" s="672"/>
      <c r="C3391" s="672"/>
      <c r="D3391" s="672"/>
      <c r="E3391" s="672"/>
      <c r="G3391" s="672"/>
      <c r="H3391" s="672"/>
      <c r="S3391" s="670"/>
    </row>
    <row r="3392" spans="1:19">
      <c r="A3392" s="755"/>
      <c r="B3392" s="672"/>
      <c r="C3392" s="672"/>
      <c r="D3392" s="672"/>
      <c r="E3392" s="672"/>
      <c r="G3392" s="672"/>
      <c r="H3392" s="672"/>
      <c r="S3392" s="670"/>
    </row>
    <row r="3393" spans="1:19">
      <c r="A3393" s="755"/>
      <c r="B3393" s="672"/>
      <c r="C3393" s="672"/>
      <c r="D3393" s="672"/>
      <c r="E3393" s="672"/>
      <c r="G3393" s="672"/>
      <c r="H3393" s="672"/>
      <c r="S3393" s="670"/>
    </row>
    <row r="3394" spans="1:19">
      <c r="A3394" s="755"/>
      <c r="B3394" s="672"/>
      <c r="C3394" s="672"/>
      <c r="D3394" s="672"/>
      <c r="E3394" s="672"/>
      <c r="G3394" s="672"/>
      <c r="H3394" s="672"/>
      <c r="S3394" s="670"/>
    </row>
    <row r="3395" spans="1:19">
      <c r="A3395" s="755"/>
      <c r="B3395" s="672"/>
      <c r="C3395" s="672"/>
      <c r="D3395" s="672"/>
      <c r="E3395" s="672"/>
      <c r="G3395" s="672"/>
      <c r="H3395" s="672"/>
      <c r="S3395" s="670"/>
    </row>
    <row r="3396" spans="1:19">
      <c r="A3396" s="755"/>
      <c r="B3396" s="672"/>
      <c r="C3396" s="672"/>
      <c r="D3396" s="672"/>
      <c r="E3396" s="672"/>
      <c r="G3396" s="672"/>
      <c r="H3396" s="672"/>
      <c r="S3396" s="670"/>
    </row>
    <row r="3397" spans="1:19">
      <c r="A3397" s="755"/>
      <c r="B3397" s="672"/>
      <c r="C3397" s="672"/>
      <c r="D3397" s="672"/>
      <c r="E3397" s="672"/>
      <c r="G3397" s="672"/>
      <c r="H3397" s="672"/>
      <c r="S3397" s="670"/>
    </row>
    <row r="3398" spans="1:19">
      <c r="A3398" s="755"/>
      <c r="B3398" s="672"/>
      <c r="C3398" s="672"/>
      <c r="D3398" s="672"/>
      <c r="E3398" s="672"/>
      <c r="G3398" s="672"/>
      <c r="H3398" s="672"/>
      <c r="S3398" s="670"/>
    </row>
    <row r="3399" spans="1:19">
      <c r="A3399" s="755"/>
      <c r="B3399" s="672"/>
      <c r="C3399" s="672"/>
      <c r="D3399" s="672"/>
      <c r="E3399" s="672"/>
      <c r="G3399" s="672"/>
      <c r="H3399" s="672"/>
      <c r="S3399" s="670"/>
    </row>
    <row r="3400" spans="1:19">
      <c r="A3400" s="755"/>
      <c r="B3400" s="672"/>
      <c r="C3400" s="672"/>
      <c r="D3400" s="672"/>
      <c r="E3400" s="672"/>
      <c r="G3400" s="672"/>
      <c r="H3400" s="672"/>
      <c r="S3400" s="670"/>
    </row>
    <row r="3401" spans="1:19">
      <c r="A3401" s="755"/>
      <c r="B3401" s="672"/>
      <c r="C3401" s="672"/>
      <c r="D3401" s="672"/>
      <c r="E3401" s="672"/>
      <c r="G3401" s="672"/>
      <c r="H3401" s="672"/>
      <c r="S3401" s="670"/>
    </row>
    <row r="3402" spans="1:19">
      <c r="A3402" s="755"/>
      <c r="B3402" s="672"/>
      <c r="C3402" s="672"/>
      <c r="D3402" s="672"/>
      <c r="E3402" s="672"/>
      <c r="G3402" s="672"/>
      <c r="H3402" s="672"/>
      <c r="S3402" s="670"/>
    </row>
    <row r="3403" spans="1:19">
      <c r="A3403" s="755"/>
      <c r="B3403" s="672"/>
      <c r="C3403" s="672"/>
      <c r="D3403" s="672"/>
      <c r="E3403" s="672"/>
      <c r="G3403" s="672"/>
      <c r="H3403" s="672"/>
      <c r="S3403" s="670"/>
    </row>
    <row r="3404" spans="1:19">
      <c r="A3404" s="755"/>
      <c r="B3404" s="672"/>
      <c r="C3404" s="672"/>
      <c r="D3404" s="672"/>
      <c r="E3404" s="672"/>
      <c r="G3404" s="672"/>
      <c r="H3404" s="672"/>
      <c r="S3404" s="670"/>
    </row>
    <row r="3405" spans="1:19">
      <c r="A3405" s="755"/>
      <c r="B3405" s="672"/>
      <c r="C3405" s="672"/>
      <c r="D3405" s="672"/>
      <c r="E3405" s="672"/>
      <c r="G3405" s="672"/>
      <c r="H3405" s="672"/>
      <c r="S3405" s="670"/>
    </row>
    <row r="3406" spans="1:19">
      <c r="A3406" s="755"/>
      <c r="B3406" s="672"/>
      <c r="C3406" s="672"/>
      <c r="D3406" s="672"/>
      <c r="E3406" s="672"/>
      <c r="G3406" s="672"/>
      <c r="H3406" s="672"/>
      <c r="S3406" s="670"/>
    </row>
    <row r="3407" spans="1:19">
      <c r="A3407" s="755"/>
      <c r="B3407" s="672"/>
      <c r="C3407" s="672"/>
      <c r="D3407" s="672"/>
      <c r="E3407" s="672"/>
      <c r="G3407" s="672"/>
      <c r="H3407" s="672"/>
      <c r="S3407" s="670"/>
    </row>
    <row r="3408" spans="1:19">
      <c r="A3408" s="755"/>
      <c r="B3408" s="672"/>
      <c r="C3408" s="672"/>
      <c r="D3408" s="672"/>
      <c r="E3408" s="672"/>
      <c r="G3408" s="672"/>
      <c r="H3408" s="672"/>
      <c r="S3408" s="670"/>
    </row>
    <row r="3409" spans="1:19">
      <c r="A3409" s="755"/>
      <c r="B3409" s="672"/>
      <c r="C3409" s="672"/>
      <c r="D3409" s="672"/>
      <c r="E3409" s="672"/>
      <c r="G3409" s="672"/>
      <c r="H3409" s="672"/>
      <c r="S3409" s="670"/>
    </row>
    <row r="3410" spans="1:19">
      <c r="A3410" s="755"/>
      <c r="B3410" s="672"/>
      <c r="C3410" s="672"/>
      <c r="D3410" s="672"/>
      <c r="E3410" s="672"/>
      <c r="G3410" s="672"/>
      <c r="H3410" s="672"/>
      <c r="S3410" s="670"/>
    </row>
    <row r="3411" spans="1:19">
      <c r="A3411" s="755"/>
      <c r="B3411" s="672"/>
      <c r="C3411" s="672"/>
      <c r="D3411" s="672"/>
      <c r="E3411" s="672"/>
      <c r="G3411" s="672"/>
      <c r="H3411" s="672"/>
      <c r="S3411" s="670"/>
    </row>
    <row r="3412" spans="1:19">
      <c r="A3412" s="755"/>
      <c r="B3412" s="672"/>
      <c r="C3412" s="672"/>
      <c r="D3412" s="672"/>
      <c r="E3412" s="672"/>
      <c r="G3412" s="672"/>
      <c r="H3412" s="672"/>
      <c r="S3412" s="670"/>
    </row>
    <row r="3413" spans="1:19">
      <c r="A3413" s="755"/>
      <c r="B3413" s="672"/>
      <c r="C3413" s="672"/>
      <c r="D3413" s="672"/>
      <c r="E3413" s="672"/>
      <c r="G3413" s="672"/>
      <c r="H3413" s="672"/>
      <c r="S3413" s="670"/>
    </row>
    <row r="3414" spans="1:19">
      <c r="A3414" s="755"/>
      <c r="B3414" s="672"/>
      <c r="C3414" s="672"/>
      <c r="D3414" s="672"/>
      <c r="E3414" s="672"/>
      <c r="G3414" s="672"/>
      <c r="H3414" s="672"/>
      <c r="S3414" s="670"/>
    </row>
    <row r="3415" spans="1:19">
      <c r="A3415" s="755"/>
      <c r="B3415" s="672"/>
      <c r="C3415" s="672"/>
      <c r="D3415" s="672"/>
      <c r="E3415" s="672"/>
      <c r="G3415" s="672"/>
      <c r="H3415" s="672"/>
      <c r="S3415" s="670"/>
    </row>
    <row r="3416" spans="1:19">
      <c r="A3416" s="755"/>
      <c r="B3416" s="672"/>
      <c r="C3416" s="672"/>
      <c r="D3416" s="672"/>
      <c r="E3416" s="672"/>
      <c r="G3416" s="672"/>
      <c r="H3416" s="672"/>
      <c r="S3416" s="670"/>
    </row>
    <row r="3417" spans="1:19">
      <c r="A3417" s="755"/>
      <c r="B3417" s="672"/>
      <c r="C3417" s="672"/>
      <c r="D3417" s="672"/>
      <c r="E3417" s="672"/>
      <c r="G3417" s="672"/>
      <c r="H3417" s="672"/>
      <c r="S3417" s="670"/>
    </row>
    <row r="3418" spans="1:19">
      <c r="A3418" s="755"/>
      <c r="B3418" s="672"/>
      <c r="C3418" s="672"/>
      <c r="D3418" s="672"/>
      <c r="E3418" s="672"/>
      <c r="G3418" s="672"/>
      <c r="H3418" s="672"/>
      <c r="S3418" s="670"/>
    </row>
    <row r="3419" spans="1:19">
      <c r="A3419" s="755"/>
      <c r="B3419" s="672"/>
      <c r="C3419" s="672"/>
      <c r="D3419" s="672"/>
      <c r="E3419" s="672"/>
      <c r="G3419" s="672"/>
      <c r="H3419" s="672"/>
      <c r="S3419" s="670"/>
    </row>
    <row r="3420" spans="1:19">
      <c r="A3420" s="755"/>
      <c r="B3420" s="672"/>
      <c r="C3420" s="672"/>
      <c r="D3420" s="672"/>
      <c r="E3420" s="672"/>
      <c r="G3420" s="672"/>
      <c r="H3420" s="672"/>
      <c r="S3420" s="670"/>
    </row>
    <row r="3421" spans="1:19">
      <c r="A3421" s="755"/>
      <c r="B3421" s="672"/>
      <c r="C3421" s="672"/>
      <c r="D3421" s="672"/>
      <c r="E3421" s="672"/>
      <c r="G3421" s="672"/>
      <c r="H3421" s="672"/>
      <c r="S3421" s="670"/>
    </row>
    <row r="3422" spans="1:19">
      <c r="A3422" s="755"/>
      <c r="B3422" s="672"/>
      <c r="C3422" s="672"/>
      <c r="D3422" s="672"/>
      <c r="E3422" s="672"/>
      <c r="G3422" s="672"/>
      <c r="H3422" s="672"/>
      <c r="S3422" s="670"/>
    </row>
    <row r="3423" spans="1:19">
      <c r="A3423" s="755"/>
      <c r="B3423" s="672"/>
      <c r="C3423" s="672"/>
      <c r="D3423" s="672"/>
      <c r="E3423" s="672"/>
      <c r="G3423" s="672"/>
      <c r="H3423" s="672"/>
      <c r="S3423" s="670"/>
    </row>
    <row r="3424" spans="1:19">
      <c r="A3424" s="755"/>
      <c r="B3424" s="672"/>
      <c r="C3424" s="672"/>
      <c r="D3424" s="672"/>
      <c r="E3424" s="672"/>
      <c r="G3424" s="672"/>
      <c r="H3424" s="672"/>
      <c r="S3424" s="670"/>
    </row>
    <row r="3425" spans="1:19">
      <c r="A3425" s="755"/>
      <c r="B3425" s="672"/>
      <c r="C3425" s="672"/>
      <c r="D3425" s="672"/>
      <c r="E3425" s="672"/>
      <c r="G3425" s="672"/>
      <c r="H3425" s="672"/>
      <c r="S3425" s="670"/>
    </row>
    <row r="3426" spans="1:19">
      <c r="A3426" s="755"/>
      <c r="B3426" s="672"/>
      <c r="C3426" s="672"/>
      <c r="D3426" s="672"/>
      <c r="E3426" s="672"/>
      <c r="G3426" s="672"/>
      <c r="H3426" s="672"/>
      <c r="S3426" s="670"/>
    </row>
    <row r="3427" spans="1:19">
      <c r="A3427" s="755"/>
      <c r="B3427" s="672"/>
      <c r="C3427" s="672"/>
      <c r="D3427" s="672"/>
      <c r="E3427" s="672"/>
      <c r="G3427" s="672"/>
      <c r="H3427" s="672"/>
      <c r="S3427" s="670"/>
    </row>
    <row r="3428" spans="1:19">
      <c r="A3428" s="755"/>
      <c r="B3428" s="672"/>
      <c r="C3428" s="672"/>
      <c r="D3428" s="672"/>
      <c r="E3428" s="672"/>
      <c r="G3428" s="672"/>
      <c r="H3428" s="672"/>
      <c r="S3428" s="670"/>
    </row>
    <row r="3429" spans="1:19">
      <c r="A3429" s="755"/>
      <c r="B3429" s="672"/>
      <c r="C3429" s="672"/>
      <c r="D3429" s="672"/>
      <c r="E3429" s="672"/>
      <c r="G3429" s="672"/>
      <c r="H3429" s="672"/>
      <c r="S3429" s="670"/>
    </row>
    <row r="3430" spans="1:19">
      <c r="A3430" s="755"/>
      <c r="B3430" s="672"/>
      <c r="C3430" s="672"/>
      <c r="D3430" s="672"/>
      <c r="E3430" s="672"/>
      <c r="G3430" s="672"/>
      <c r="H3430" s="672"/>
      <c r="S3430" s="670"/>
    </row>
    <row r="3431" spans="1:19">
      <c r="A3431" s="755"/>
      <c r="B3431" s="672"/>
      <c r="C3431" s="672"/>
      <c r="D3431" s="672"/>
      <c r="E3431" s="672"/>
      <c r="G3431" s="672"/>
      <c r="H3431" s="672"/>
      <c r="S3431" s="670"/>
    </row>
    <row r="3432" spans="1:19">
      <c r="A3432" s="755"/>
      <c r="B3432" s="672"/>
      <c r="C3432" s="672"/>
      <c r="D3432" s="672"/>
      <c r="E3432" s="672"/>
      <c r="G3432" s="672"/>
      <c r="H3432" s="672"/>
      <c r="S3432" s="670"/>
    </row>
    <row r="3433" spans="1:19">
      <c r="A3433" s="755"/>
      <c r="B3433" s="672"/>
      <c r="C3433" s="672"/>
      <c r="D3433" s="672"/>
      <c r="E3433" s="672"/>
      <c r="G3433" s="672"/>
      <c r="H3433" s="672"/>
      <c r="S3433" s="670"/>
    </row>
    <row r="3434" spans="1:19">
      <c r="A3434" s="755"/>
      <c r="B3434" s="672"/>
      <c r="C3434" s="672"/>
      <c r="D3434" s="672"/>
      <c r="E3434" s="672"/>
      <c r="G3434" s="672"/>
      <c r="H3434" s="672"/>
      <c r="S3434" s="670"/>
    </row>
    <row r="3435" spans="1:19">
      <c r="A3435" s="755"/>
      <c r="B3435" s="672"/>
      <c r="C3435" s="672"/>
      <c r="D3435" s="672"/>
      <c r="E3435" s="672"/>
      <c r="G3435" s="672"/>
      <c r="H3435" s="672"/>
      <c r="S3435" s="670"/>
    </row>
    <row r="3436" spans="1:19">
      <c r="A3436" s="755"/>
      <c r="B3436" s="672"/>
      <c r="C3436" s="672"/>
      <c r="D3436" s="672"/>
      <c r="E3436" s="672"/>
      <c r="G3436" s="672"/>
      <c r="H3436" s="672"/>
      <c r="S3436" s="670"/>
    </row>
    <row r="3437" spans="1:19">
      <c r="A3437" s="755"/>
      <c r="B3437" s="672"/>
      <c r="C3437" s="672"/>
      <c r="D3437" s="672"/>
      <c r="E3437" s="672"/>
      <c r="G3437" s="672"/>
      <c r="H3437" s="672"/>
      <c r="S3437" s="670"/>
    </row>
    <row r="3438" spans="1:19">
      <c r="A3438" s="755"/>
      <c r="B3438" s="672"/>
      <c r="C3438" s="672"/>
      <c r="D3438" s="672"/>
      <c r="E3438" s="672"/>
      <c r="G3438" s="672"/>
      <c r="H3438" s="672"/>
      <c r="S3438" s="670"/>
    </row>
    <row r="3439" spans="1:19">
      <c r="A3439" s="755"/>
      <c r="B3439" s="672"/>
      <c r="C3439" s="672"/>
      <c r="D3439" s="672"/>
      <c r="E3439" s="672"/>
      <c r="G3439" s="672"/>
      <c r="H3439" s="672"/>
      <c r="S3439" s="670"/>
    </row>
    <row r="3440" spans="1:19">
      <c r="A3440" s="755"/>
      <c r="B3440" s="672"/>
      <c r="C3440" s="672"/>
      <c r="D3440" s="672"/>
      <c r="E3440" s="672"/>
      <c r="G3440" s="672"/>
      <c r="H3440" s="672"/>
      <c r="S3440" s="670"/>
    </row>
    <row r="3441" spans="1:19">
      <c r="A3441" s="755"/>
      <c r="B3441" s="672"/>
      <c r="C3441" s="672"/>
      <c r="D3441" s="672"/>
      <c r="E3441" s="672"/>
      <c r="G3441" s="672"/>
      <c r="H3441" s="672"/>
      <c r="S3441" s="670"/>
    </row>
    <row r="3442" spans="1:19">
      <c r="A3442" s="755"/>
      <c r="B3442" s="672"/>
      <c r="C3442" s="672"/>
      <c r="D3442" s="672"/>
      <c r="E3442" s="672"/>
      <c r="G3442" s="672"/>
      <c r="H3442" s="672"/>
      <c r="S3442" s="670"/>
    </row>
    <row r="3443" spans="1:19">
      <c r="A3443" s="755"/>
      <c r="B3443" s="672"/>
      <c r="C3443" s="672"/>
      <c r="D3443" s="672"/>
      <c r="E3443" s="672"/>
      <c r="G3443" s="672"/>
      <c r="H3443" s="672"/>
      <c r="S3443" s="670"/>
    </row>
    <row r="3444" spans="1:19">
      <c r="A3444" s="755"/>
      <c r="B3444" s="672"/>
      <c r="C3444" s="672"/>
      <c r="D3444" s="672"/>
      <c r="E3444" s="672"/>
      <c r="G3444" s="672"/>
      <c r="H3444" s="672"/>
      <c r="S3444" s="670"/>
    </row>
    <row r="3445" spans="1:19">
      <c r="A3445" s="755"/>
      <c r="B3445" s="672"/>
      <c r="C3445" s="672"/>
      <c r="D3445" s="672"/>
      <c r="E3445" s="672"/>
      <c r="G3445" s="672"/>
      <c r="H3445" s="672"/>
      <c r="S3445" s="670"/>
    </row>
    <row r="3446" spans="1:19">
      <c r="A3446" s="755"/>
      <c r="B3446" s="672"/>
      <c r="C3446" s="672"/>
      <c r="D3446" s="672"/>
      <c r="E3446" s="672"/>
      <c r="G3446" s="672"/>
      <c r="H3446" s="672"/>
      <c r="S3446" s="670"/>
    </row>
    <row r="3447" spans="1:19">
      <c r="A3447" s="755"/>
      <c r="B3447" s="672"/>
      <c r="C3447" s="672"/>
      <c r="D3447" s="672"/>
      <c r="E3447" s="672"/>
      <c r="G3447" s="672"/>
      <c r="H3447" s="672"/>
      <c r="S3447" s="670"/>
    </row>
    <row r="3448" spans="1:19">
      <c r="A3448" s="755"/>
      <c r="B3448" s="672"/>
      <c r="C3448" s="672"/>
      <c r="D3448" s="672"/>
      <c r="E3448" s="672"/>
      <c r="G3448" s="672"/>
      <c r="H3448" s="672"/>
      <c r="S3448" s="670"/>
    </row>
    <row r="3449" spans="1:19">
      <c r="A3449" s="755"/>
      <c r="B3449" s="672"/>
      <c r="C3449" s="672"/>
      <c r="D3449" s="672"/>
      <c r="E3449" s="672"/>
      <c r="G3449" s="672"/>
      <c r="H3449" s="672"/>
      <c r="S3449" s="670"/>
    </row>
    <row r="3450" spans="1:19">
      <c r="A3450" s="755"/>
      <c r="B3450" s="672"/>
      <c r="C3450" s="672"/>
      <c r="D3450" s="672"/>
      <c r="E3450" s="672"/>
      <c r="G3450" s="672"/>
      <c r="H3450" s="672"/>
      <c r="S3450" s="670"/>
    </row>
    <row r="3451" spans="1:19">
      <c r="A3451" s="755"/>
      <c r="B3451" s="672"/>
      <c r="C3451" s="672"/>
      <c r="D3451" s="672"/>
      <c r="E3451" s="672"/>
      <c r="G3451" s="672"/>
      <c r="H3451" s="672"/>
      <c r="S3451" s="670"/>
    </row>
    <row r="3452" spans="1:19">
      <c r="A3452" s="755"/>
      <c r="B3452" s="672"/>
      <c r="C3452" s="672"/>
      <c r="D3452" s="672"/>
      <c r="E3452" s="672"/>
      <c r="G3452" s="672"/>
      <c r="H3452" s="672"/>
      <c r="S3452" s="670"/>
    </row>
    <row r="3453" spans="1:19">
      <c r="A3453" s="755"/>
      <c r="B3453" s="672"/>
      <c r="C3453" s="672"/>
      <c r="D3453" s="672"/>
      <c r="E3453" s="672"/>
      <c r="G3453" s="672"/>
      <c r="H3453" s="672"/>
      <c r="S3453" s="670"/>
    </row>
    <row r="3454" spans="1:19">
      <c r="A3454" s="755"/>
      <c r="B3454" s="672"/>
      <c r="C3454" s="672"/>
      <c r="D3454" s="672"/>
      <c r="E3454" s="672"/>
      <c r="G3454" s="672"/>
      <c r="H3454" s="672"/>
      <c r="S3454" s="670"/>
    </row>
    <row r="3455" spans="1:19">
      <c r="A3455" s="755"/>
      <c r="B3455" s="672"/>
      <c r="C3455" s="672"/>
      <c r="D3455" s="672"/>
      <c r="E3455" s="672"/>
      <c r="G3455" s="672"/>
      <c r="H3455" s="672"/>
      <c r="S3455" s="670"/>
    </row>
    <row r="3456" spans="1:19">
      <c r="A3456" s="755"/>
      <c r="B3456" s="672"/>
      <c r="C3456" s="672"/>
      <c r="D3456" s="672"/>
      <c r="E3456" s="672"/>
      <c r="G3456" s="672"/>
      <c r="H3456" s="672"/>
      <c r="S3456" s="670"/>
    </row>
    <row r="3457" spans="1:19">
      <c r="A3457" s="755"/>
      <c r="B3457" s="672"/>
      <c r="C3457" s="672"/>
      <c r="D3457" s="672"/>
      <c r="E3457" s="672"/>
      <c r="G3457" s="672"/>
      <c r="H3457" s="672"/>
      <c r="S3457" s="670"/>
    </row>
    <row r="3458" spans="1:19">
      <c r="A3458" s="755"/>
      <c r="B3458" s="672"/>
      <c r="C3458" s="672"/>
      <c r="D3458" s="672"/>
      <c r="E3458" s="672"/>
      <c r="G3458" s="672"/>
      <c r="H3458" s="672"/>
      <c r="S3458" s="670"/>
    </row>
    <row r="3459" spans="1:19">
      <c r="A3459" s="755"/>
      <c r="B3459" s="672"/>
      <c r="C3459" s="672"/>
      <c r="D3459" s="672"/>
      <c r="E3459" s="672"/>
      <c r="G3459" s="672"/>
      <c r="H3459" s="672"/>
      <c r="S3459" s="670"/>
    </row>
    <row r="3460" spans="1:19">
      <c r="A3460" s="755"/>
      <c r="B3460" s="672"/>
      <c r="C3460" s="672"/>
      <c r="D3460" s="672"/>
      <c r="E3460" s="672"/>
      <c r="G3460" s="672"/>
      <c r="H3460" s="672"/>
      <c r="S3460" s="670"/>
    </row>
    <row r="3461" spans="1:19">
      <c r="A3461" s="755"/>
      <c r="B3461" s="672"/>
      <c r="C3461" s="672"/>
      <c r="D3461" s="672"/>
      <c r="E3461" s="672"/>
      <c r="G3461" s="672"/>
      <c r="H3461" s="672"/>
      <c r="S3461" s="670"/>
    </row>
    <row r="3462" spans="1:19">
      <c r="A3462" s="755"/>
      <c r="B3462" s="672"/>
      <c r="C3462" s="672"/>
      <c r="D3462" s="672"/>
      <c r="E3462" s="672"/>
      <c r="G3462" s="672"/>
      <c r="H3462" s="672"/>
      <c r="S3462" s="670"/>
    </row>
    <row r="3463" spans="1:19">
      <c r="A3463" s="755"/>
      <c r="B3463" s="672"/>
      <c r="C3463" s="672"/>
      <c r="D3463" s="672"/>
      <c r="E3463" s="672"/>
      <c r="G3463" s="672"/>
      <c r="H3463" s="672"/>
      <c r="S3463" s="670"/>
    </row>
    <row r="3464" spans="1:19">
      <c r="A3464" s="755"/>
      <c r="B3464" s="672"/>
      <c r="C3464" s="672"/>
      <c r="D3464" s="672"/>
      <c r="E3464" s="672"/>
      <c r="G3464" s="672"/>
      <c r="H3464" s="672"/>
      <c r="S3464" s="670"/>
    </row>
    <row r="3465" spans="1:19">
      <c r="A3465" s="755"/>
      <c r="B3465" s="672"/>
      <c r="C3465" s="672"/>
      <c r="D3465" s="672"/>
      <c r="E3465" s="672"/>
      <c r="G3465" s="672"/>
      <c r="H3465" s="672"/>
      <c r="S3465" s="670"/>
    </row>
    <row r="3466" spans="1:19">
      <c r="A3466" s="755"/>
      <c r="B3466" s="672"/>
      <c r="C3466" s="672"/>
      <c r="D3466" s="672"/>
      <c r="E3466" s="672"/>
      <c r="G3466" s="672"/>
      <c r="H3466" s="672"/>
      <c r="S3466" s="670"/>
    </row>
    <row r="3467" spans="1:19">
      <c r="A3467" s="755"/>
      <c r="B3467" s="672"/>
      <c r="C3467" s="672"/>
      <c r="D3467" s="672"/>
      <c r="E3467" s="672"/>
      <c r="G3467" s="672"/>
      <c r="H3467" s="672"/>
      <c r="S3467" s="670"/>
    </row>
    <row r="3468" spans="1:19">
      <c r="A3468" s="755"/>
      <c r="B3468" s="672"/>
      <c r="C3468" s="672"/>
      <c r="D3468" s="672"/>
      <c r="E3468" s="672"/>
      <c r="G3468" s="672"/>
      <c r="H3468" s="672"/>
      <c r="S3468" s="670"/>
    </row>
    <row r="3469" spans="1:19">
      <c r="A3469" s="755"/>
      <c r="B3469" s="672"/>
      <c r="C3469" s="672"/>
      <c r="D3469" s="672"/>
      <c r="E3469" s="672"/>
      <c r="G3469" s="672"/>
      <c r="H3469" s="672"/>
      <c r="S3469" s="670"/>
    </row>
  </sheetData>
  <mergeCells count="225">
    <mergeCell ref="D2:E2"/>
    <mergeCell ref="C4:E4"/>
    <mergeCell ref="D5:E5"/>
    <mergeCell ref="D22:E22"/>
    <mergeCell ref="D23:E23"/>
    <mergeCell ref="D24:E24"/>
    <mergeCell ref="D35:E35"/>
    <mergeCell ref="D44:E44"/>
    <mergeCell ref="D50:E50"/>
    <mergeCell ref="D53:E53"/>
    <mergeCell ref="D57:E57"/>
    <mergeCell ref="D58:E58"/>
    <mergeCell ref="B86:E86"/>
    <mergeCell ref="C88:E88"/>
    <mergeCell ref="D89:E89"/>
    <mergeCell ref="D94:E94"/>
    <mergeCell ref="D104:E104"/>
    <mergeCell ref="D110:E110"/>
    <mergeCell ref="B114:E114"/>
    <mergeCell ref="C116:E116"/>
    <mergeCell ref="D117:E117"/>
    <mergeCell ref="D118:E118"/>
    <mergeCell ref="D121:E121"/>
    <mergeCell ref="D122:E122"/>
    <mergeCell ref="D123:E123"/>
    <mergeCell ref="D124:E124"/>
    <mergeCell ref="D129:E129"/>
    <mergeCell ref="D130:E130"/>
    <mergeCell ref="D156:E156"/>
    <mergeCell ref="D160:E160"/>
    <mergeCell ref="B164:E164"/>
    <mergeCell ref="B165:E165"/>
    <mergeCell ref="D167:E167"/>
    <mergeCell ref="C169:E169"/>
    <mergeCell ref="C170:E170"/>
    <mergeCell ref="D205:E205"/>
    <mergeCell ref="C219:E219"/>
    <mergeCell ref="C221:E221"/>
    <mergeCell ref="D222:E222"/>
    <mergeCell ref="D223:E223"/>
    <mergeCell ref="D171:E171"/>
    <mergeCell ref="D180:E180"/>
    <mergeCell ref="D181:E181"/>
    <mergeCell ref="D185:E185"/>
    <mergeCell ref="D192:E192"/>
    <mergeCell ref="D197:E197"/>
    <mergeCell ref="D202:E202"/>
    <mergeCell ref="D272:E272"/>
    <mergeCell ref="C321:E321"/>
    <mergeCell ref="C323:E323"/>
    <mergeCell ref="D324:E324"/>
    <mergeCell ref="D336:E336"/>
    <mergeCell ref="D337:E337"/>
    <mergeCell ref="D341:E341"/>
    <mergeCell ref="D349:E349"/>
    <mergeCell ref="D354:E354"/>
    <mergeCell ref="D359:E359"/>
    <mergeCell ref="D362:E362"/>
    <mergeCell ref="C376:E376"/>
    <mergeCell ref="C378:E378"/>
    <mergeCell ref="D379:E379"/>
    <mergeCell ref="D426:E426"/>
    <mergeCell ref="D473:E473"/>
    <mergeCell ref="D522:E522"/>
    <mergeCell ref="D569:E569"/>
    <mergeCell ref="D616:E616"/>
    <mergeCell ref="D663:E663"/>
    <mergeCell ref="D710:E710"/>
    <mergeCell ref="C762:E762"/>
    <mergeCell ref="C764:E764"/>
    <mergeCell ref="D765:E765"/>
    <mergeCell ref="D812:E812"/>
    <mergeCell ref="D859:E859"/>
    <mergeCell ref="D860:E860"/>
    <mergeCell ref="D907:E907"/>
    <mergeCell ref="C954:E954"/>
    <mergeCell ref="C956:E956"/>
    <mergeCell ref="D957:E957"/>
    <mergeCell ref="D964:E964"/>
    <mergeCell ref="D965:E965"/>
    <mergeCell ref="D969:E969"/>
    <mergeCell ref="D976:E976"/>
    <mergeCell ref="D981:E981"/>
    <mergeCell ref="D986:E986"/>
    <mergeCell ref="D989:E989"/>
    <mergeCell ref="C1003:E1003"/>
    <mergeCell ref="C1004:E1004"/>
    <mergeCell ref="C1005:E1005"/>
    <mergeCell ref="B1006:E1006"/>
    <mergeCell ref="C1357:E1357"/>
    <mergeCell ref="D1358:E1358"/>
    <mergeCell ref="C1008:E1008"/>
    <mergeCell ref="C1009:E1009"/>
    <mergeCell ref="D1010:E1010"/>
    <mergeCell ref="D1051:E1051"/>
    <mergeCell ref="D1092:E1092"/>
    <mergeCell ref="D1138:E1138"/>
    <mergeCell ref="D1181:E1181"/>
    <mergeCell ref="D1182:E1182"/>
    <mergeCell ref="D1226:E1226"/>
    <mergeCell ref="D1227:E1227"/>
    <mergeCell ref="D1271:E1271"/>
    <mergeCell ref="D1312:E1312"/>
    <mergeCell ref="D1313:E1313"/>
    <mergeCell ref="C1355:E1355"/>
    <mergeCell ref="D1648:E1648"/>
    <mergeCell ref="D1690:E1690"/>
    <mergeCell ref="D1994:E1994"/>
    <mergeCell ref="D2068:E2068"/>
    <mergeCell ref="C2110:E2110"/>
    <mergeCell ref="C2112:E2112"/>
    <mergeCell ref="D2113:E2113"/>
    <mergeCell ref="D2185:E2185"/>
    <mergeCell ref="C2233:E2233"/>
    <mergeCell ref="C2235:E2235"/>
    <mergeCell ref="D2236:E2236"/>
    <mergeCell ref="D2246:E2246"/>
    <mergeCell ref="D2247:E2247"/>
    <mergeCell ref="D2251:E2251"/>
    <mergeCell ref="D2255:E2255"/>
    <mergeCell ref="D2259:E2259"/>
    <mergeCell ref="D2264:E2264"/>
    <mergeCell ref="D2268:E2268"/>
    <mergeCell ref="C2282:E2282"/>
    <mergeCell ref="C2284:E2284"/>
    <mergeCell ref="D2285:E2285"/>
    <mergeCell ref="C2578:E2578"/>
    <mergeCell ref="C2580:E2580"/>
    <mergeCell ref="D2581:E2581"/>
    <mergeCell ref="D2882:E2882"/>
    <mergeCell ref="C2910:E2910"/>
    <mergeCell ref="D2666:E2666"/>
    <mergeCell ref="C2710:E2710"/>
    <mergeCell ref="C2712:E2712"/>
    <mergeCell ref="D2713:E2713"/>
    <mergeCell ref="D2751:E2751"/>
    <mergeCell ref="D2790:E2790"/>
    <mergeCell ref="D2834:E2834"/>
    <mergeCell ref="D2286:E2286"/>
    <mergeCell ref="D2330:E2330"/>
    <mergeCell ref="D2369:E2369"/>
    <mergeCell ref="D2406:E2406"/>
    <mergeCell ref="D2444:E2444"/>
    <mergeCell ref="C2482:E2482"/>
    <mergeCell ref="C2484:E2484"/>
    <mergeCell ref="D2485:E2485"/>
    <mergeCell ref="D2495:E2495"/>
    <mergeCell ref="D3056:E3056"/>
    <mergeCell ref="D3059:E3059"/>
    <mergeCell ref="C3073:E3073"/>
    <mergeCell ref="B3074:E3074"/>
    <mergeCell ref="C3076:E3076"/>
    <mergeCell ref="D3077:E3077"/>
    <mergeCell ref="D3078:E3078"/>
    <mergeCell ref="D3085:E3085"/>
    <mergeCell ref="D3091:E3091"/>
    <mergeCell ref="D3095:E3095"/>
    <mergeCell ref="D3098:E3098"/>
    <mergeCell ref="D3102:E3102"/>
    <mergeCell ref="D3112:E3112"/>
    <mergeCell ref="D3115:E3115"/>
    <mergeCell ref="D3155:E3155"/>
    <mergeCell ref="D3156:E3156"/>
    <mergeCell ref="D3157:E3157"/>
    <mergeCell ref="B3158:E3158"/>
    <mergeCell ref="G3176:H3176"/>
    <mergeCell ref="C3194:D3194"/>
    <mergeCell ref="B3166:E3166"/>
    <mergeCell ref="B3168:E3168"/>
    <mergeCell ref="D3169:E3169"/>
    <mergeCell ref="D3170:E3170"/>
    <mergeCell ref="D3171:E3171"/>
    <mergeCell ref="G3171:H3171"/>
    <mergeCell ref="D3172:E3172"/>
    <mergeCell ref="D2522:E2522"/>
    <mergeCell ref="D2530:E2530"/>
    <mergeCell ref="D2539:E2539"/>
    <mergeCell ref="D2549:E2549"/>
    <mergeCell ref="D2564:E2564"/>
    <mergeCell ref="B2911:E2911"/>
    <mergeCell ref="B2913:E2913"/>
    <mergeCell ref="C2914:E2914"/>
    <mergeCell ref="D2915:E2915"/>
    <mergeCell ref="D2927:E2927"/>
    <mergeCell ref="D2934:E2934"/>
    <mergeCell ref="D2943:E2943"/>
    <mergeCell ref="D2962:E2962"/>
    <mergeCell ref="D2971:E2971"/>
    <mergeCell ref="D2976:E2976"/>
    <mergeCell ref="D2979:E2979"/>
    <mergeCell ref="C2993:E2993"/>
    <mergeCell ref="C2995:E2995"/>
    <mergeCell ref="D2996:E2996"/>
    <mergeCell ref="D3000:E3000"/>
    <mergeCell ref="D3001:E3001"/>
    <mergeCell ref="D3004:E3004"/>
    <mergeCell ref="D3007:E3007"/>
    <mergeCell ref="D3011:E3011"/>
    <mergeCell ref="D3016:E3016"/>
    <mergeCell ref="D3019:E3019"/>
    <mergeCell ref="C3033:E3033"/>
    <mergeCell ref="C3308:D3308"/>
    <mergeCell ref="B3129:E3129"/>
    <mergeCell ref="C3131:E3131"/>
    <mergeCell ref="D3132:E3132"/>
    <mergeCell ref="C3147:E3147"/>
    <mergeCell ref="C3148:E3148"/>
    <mergeCell ref="D3149:E3149"/>
    <mergeCell ref="D3152:E3152"/>
    <mergeCell ref="C3035:E3035"/>
    <mergeCell ref="D3036:E3036"/>
    <mergeCell ref="D3040:E3040"/>
    <mergeCell ref="D3041:E3041"/>
    <mergeCell ref="D3044:E3044"/>
    <mergeCell ref="D3047:E3047"/>
    <mergeCell ref="C3259:D3259"/>
    <mergeCell ref="C3261:D3261"/>
    <mergeCell ref="C3306:D3306"/>
    <mergeCell ref="C3159:E3159"/>
    <mergeCell ref="D3160:E3160"/>
    <mergeCell ref="B3165:E3165"/>
    <mergeCell ref="D3173:E3173"/>
    <mergeCell ref="D3174:E3174"/>
    <mergeCell ref="D3175:E3175"/>
    <mergeCell ref="D3176:E3176"/>
  </mergeCells>
  <conditionalFormatting sqref="B3313:B3314">
    <cfRule type="expression" dxfId="10" priority="2">
      <formula>$A3338="x"</formula>
    </cfRule>
  </conditionalFormatting>
  <conditionalFormatting sqref="E3217:E3223">
    <cfRule type="expression" dxfId="9" priority="11">
      <formula>$A3217="x"</formula>
    </cfRule>
  </conditionalFormatting>
  <conditionalFormatting sqref="E3225 E3229:E3232">
    <cfRule type="expression" dxfId="8" priority="10">
      <formula>$A3225="x"</formula>
    </cfRule>
  </conditionalFormatting>
  <conditionalFormatting sqref="E3238:E3239 B3240:B3258">
    <cfRule type="expression" dxfId="7" priority="9">
      <formula>$A3238="x"</formula>
    </cfRule>
  </conditionalFormatting>
  <conditionalFormatting sqref="E3263">
    <cfRule type="expression" dxfId="6" priority="8">
      <formula>$A3263="x"</formula>
    </cfRule>
  </conditionalFormatting>
  <conditionalFormatting sqref="E3268:E3270">
    <cfRule type="expression" dxfId="5" priority="6">
      <formula>$A3321="x"</formula>
    </cfRule>
  </conditionalFormatting>
  <conditionalFormatting sqref="E3271:E3279">
    <cfRule type="expression" dxfId="4" priority="3">
      <formula>$A3334="x"</formula>
    </cfRule>
  </conditionalFormatting>
  <conditionalFormatting sqref="E3280:E3291 B3295:B3301">
    <cfRule type="expression" dxfId="3" priority="4">
      <formula>$A3336="x"</formula>
    </cfRule>
  </conditionalFormatting>
  <conditionalFormatting sqref="E3281:E3291 B3295:B3303 C3333:D3333">
    <cfRule type="expression" dxfId="2" priority="7">
      <formula>$A3281="x"</formula>
    </cfRule>
  </conditionalFormatting>
  <conditionalFormatting sqref="E3292:E3294">
    <cfRule type="expression" dxfId="1" priority="1">
      <formula>$A3332="x"</formula>
    </cfRule>
  </conditionalFormatting>
  <conditionalFormatting sqref="E3305">
    <cfRule type="expression" dxfId="0" priority="5">
      <formula>$A3324="x"</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030F8-103B-4596-836E-57EED96C7FCC}">
  <dimension ref="A1:Q40"/>
  <sheetViews>
    <sheetView workbookViewId="0">
      <selection activeCell="H2" sqref="H2"/>
    </sheetView>
  </sheetViews>
  <sheetFormatPr defaultRowHeight="15.5"/>
  <cols>
    <col min="8" max="9" width="9.3046875" bestFit="1" customWidth="1"/>
    <col min="12" max="12" width="9.3046875" customWidth="1"/>
    <col min="13" max="13" width="9.84375" customWidth="1"/>
  </cols>
  <sheetData>
    <row r="1" spans="1:15" s="494" customFormat="1" ht="90">
      <c r="A1" s="631" t="s">
        <v>4323</v>
      </c>
      <c r="B1" s="633" t="s">
        <v>4324</v>
      </c>
      <c r="C1" s="630" t="s">
        <v>4325</v>
      </c>
      <c r="D1" s="632" t="s">
        <v>4326</v>
      </c>
      <c r="E1" s="632" t="s">
        <v>4327</v>
      </c>
      <c r="F1" s="632" t="s">
        <v>4328</v>
      </c>
      <c r="G1" s="632" t="s">
        <v>4329</v>
      </c>
      <c r="H1" s="632" t="s">
        <v>4330</v>
      </c>
      <c r="I1" s="632" t="s">
        <v>4331</v>
      </c>
      <c r="J1" s="632" t="s">
        <v>4332</v>
      </c>
      <c r="K1" s="632" t="s">
        <v>4333</v>
      </c>
      <c r="L1" s="632" t="s">
        <v>4334</v>
      </c>
      <c r="M1" s="632" t="s">
        <v>4335</v>
      </c>
      <c r="N1" s="632" t="s">
        <v>4336</v>
      </c>
      <c r="O1" s="632" t="s">
        <v>4337</v>
      </c>
    </row>
    <row r="2" spans="1:15">
      <c r="A2" s="657">
        <v>45657</v>
      </c>
      <c r="B2" s="641" t="s">
        <v>4350</v>
      </c>
      <c r="C2" s="641" t="s">
        <v>4351</v>
      </c>
      <c r="D2" s="654" t="s">
        <v>4338</v>
      </c>
      <c r="E2" s="654" t="s">
        <v>91</v>
      </c>
      <c r="F2" s="656" t="s">
        <v>4339</v>
      </c>
      <c r="G2" s="655">
        <v>1000</v>
      </c>
      <c r="H2" s="658">
        <f>'FY 24-25 Budget Form A'!G13</f>
        <v>1214502.18</v>
      </c>
      <c r="I2" s="658">
        <f>'FY 24-25 Budget Form A'!H13</f>
        <v>1949250.3734843242</v>
      </c>
      <c r="J2" s="658">
        <f>'FY 24-25 Budget Form A'!I13</f>
        <v>703716.79</v>
      </c>
      <c r="K2" s="658">
        <f>'FY 24-25 Budget Form A'!J13</f>
        <v>0</v>
      </c>
      <c r="L2" s="658">
        <f>'FY 24-25 Budget Form A'!K13</f>
        <v>0</v>
      </c>
      <c r="M2" s="658">
        <f>'FY 24-25 Budget Form A'!L13</f>
        <v>5218</v>
      </c>
      <c r="N2" s="658">
        <f>'FY 24-25 Budget Form A'!M13</f>
        <v>0</v>
      </c>
      <c r="O2" s="658">
        <f>'FY 24-25 Budget Form A'!N13</f>
        <v>0</v>
      </c>
    </row>
    <row r="3" spans="1:15">
      <c r="A3" s="657">
        <v>45657</v>
      </c>
      <c r="B3" s="641" t="s">
        <v>4350</v>
      </c>
      <c r="C3" s="641" t="s">
        <v>4351</v>
      </c>
      <c r="D3" s="648" t="s">
        <v>4338</v>
      </c>
      <c r="E3" s="654" t="s">
        <v>91</v>
      </c>
      <c r="F3" s="650" t="s">
        <v>4340</v>
      </c>
      <c r="G3" s="653">
        <v>3000</v>
      </c>
      <c r="H3" s="658">
        <f>'FY 24-25 Budget Form A'!G14</f>
        <v>108814</v>
      </c>
      <c r="I3" s="658">
        <f>'FY 24-25 Budget Form A'!H14</f>
        <v>411600</v>
      </c>
      <c r="J3" s="658">
        <f>'FY 24-25 Budget Form A'!I14</f>
        <v>170136</v>
      </c>
      <c r="K3" s="658">
        <f>'FY 24-25 Budget Form A'!J14</f>
        <v>0</v>
      </c>
      <c r="L3" s="658">
        <f>'FY 24-25 Budget Form A'!K14</f>
        <v>0</v>
      </c>
      <c r="M3" s="658">
        <f>'FY 24-25 Budget Form A'!L14</f>
        <v>0</v>
      </c>
      <c r="N3" s="658">
        <f>'FY 24-25 Budget Form A'!M14</f>
        <v>0</v>
      </c>
      <c r="O3" s="658">
        <f>'FY 24-25 Budget Form A'!N14</f>
        <v>0</v>
      </c>
    </row>
    <row r="4" spans="1:15">
      <c r="A4" s="657">
        <v>45657</v>
      </c>
      <c r="B4" s="641" t="s">
        <v>4350</v>
      </c>
      <c r="C4" s="641" t="s">
        <v>4351</v>
      </c>
      <c r="D4" s="648" t="s">
        <v>4338</v>
      </c>
      <c r="E4" s="654" t="s">
        <v>91</v>
      </c>
      <c r="F4" s="650" t="s">
        <v>4341</v>
      </c>
      <c r="G4" s="653">
        <v>3000</v>
      </c>
      <c r="H4" s="658">
        <f>'FY 24-25 Budget Form A'!G15</f>
        <v>1013361</v>
      </c>
      <c r="I4" s="658">
        <f>'FY 24-25 Budget Form A'!H15</f>
        <v>1390554.1230767467</v>
      </c>
      <c r="J4" s="658">
        <f>'FY 24-25 Budget Form A'!I15</f>
        <v>416565</v>
      </c>
      <c r="K4" s="658">
        <f>'FY 24-25 Budget Form A'!J15</f>
        <v>0</v>
      </c>
      <c r="L4" s="658">
        <f>'FY 24-25 Budget Form A'!K15</f>
        <v>0</v>
      </c>
      <c r="M4" s="658">
        <f>'FY 24-25 Budget Form A'!L15</f>
        <v>0</v>
      </c>
      <c r="N4" s="658">
        <f>'FY 24-25 Budget Form A'!M15</f>
        <v>0</v>
      </c>
      <c r="O4" s="658">
        <f>'FY 24-25 Budget Form A'!N15</f>
        <v>0</v>
      </c>
    </row>
    <row r="5" spans="1:15">
      <c r="A5" s="657">
        <v>45657</v>
      </c>
      <c r="B5" s="641" t="s">
        <v>4350</v>
      </c>
      <c r="C5" s="641" t="s">
        <v>4351</v>
      </c>
      <c r="D5" s="648" t="s">
        <v>4338</v>
      </c>
      <c r="E5" s="654" t="s">
        <v>91</v>
      </c>
      <c r="F5" s="650" t="s">
        <v>4342</v>
      </c>
      <c r="G5" s="653">
        <v>3000</v>
      </c>
      <c r="H5" s="658">
        <f>'FY 24-25 Budget Form A'!G16</f>
        <v>0</v>
      </c>
      <c r="I5" s="658">
        <f>'FY 24-25 Budget Form A'!H16</f>
        <v>0</v>
      </c>
      <c r="J5" s="658">
        <f>'FY 24-25 Budget Form A'!I16</f>
        <v>0</v>
      </c>
      <c r="K5" s="658">
        <f>'FY 24-25 Budget Form A'!J16</f>
        <v>0</v>
      </c>
      <c r="L5" s="658">
        <f>'FY 24-25 Budget Form A'!K16</f>
        <v>0</v>
      </c>
      <c r="M5" s="658">
        <f>'FY 24-25 Budget Form A'!L16</f>
        <v>0</v>
      </c>
      <c r="N5" s="658">
        <f>'FY 24-25 Budget Form A'!M16</f>
        <v>0</v>
      </c>
      <c r="O5" s="658">
        <f>'FY 24-25 Budget Form A'!N16</f>
        <v>0</v>
      </c>
    </row>
    <row r="6" spans="1:15">
      <c r="A6" s="657">
        <v>45657</v>
      </c>
      <c r="B6" s="641" t="s">
        <v>4350</v>
      </c>
      <c r="C6" s="641" t="s">
        <v>4351</v>
      </c>
      <c r="D6" s="648" t="s">
        <v>4338</v>
      </c>
      <c r="E6" s="654" t="s">
        <v>91</v>
      </c>
      <c r="F6" s="650" t="s">
        <v>4343</v>
      </c>
      <c r="G6" s="653">
        <v>4000</v>
      </c>
      <c r="H6" s="658">
        <f>'FY 24-25 Budget Form A'!G17</f>
        <v>0</v>
      </c>
      <c r="I6" s="658">
        <f>'FY 24-25 Budget Form A'!H17</f>
        <v>0</v>
      </c>
      <c r="J6" s="658">
        <f>'FY 24-25 Budget Form A'!I17</f>
        <v>0</v>
      </c>
      <c r="K6" s="658">
        <f>'FY 24-25 Budget Form A'!J17</f>
        <v>0</v>
      </c>
      <c r="L6" s="658">
        <f>'FY 24-25 Budget Form A'!K17</f>
        <v>1998415.03</v>
      </c>
      <c r="M6" s="658">
        <f>'FY 24-25 Budget Form A'!L17</f>
        <v>1708582.583360787</v>
      </c>
      <c r="N6" s="658">
        <f>'FY 24-25 Budget Form A'!M17</f>
        <v>760302.39</v>
      </c>
      <c r="O6" s="658">
        <f>'FY 24-25 Budget Form A'!N17</f>
        <v>0</v>
      </c>
    </row>
    <row r="7" spans="1:15">
      <c r="A7" s="657">
        <v>45657</v>
      </c>
      <c r="B7" s="641" t="s">
        <v>4350</v>
      </c>
      <c r="C7" s="641" t="s">
        <v>4351</v>
      </c>
      <c r="D7" s="648" t="s">
        <v>4338</v>
      </c>
      <c r="E7" s="654" t="s">
        <v>4344</v>
      </c>
      <c r="F7" s="650" t="s">
        <v>674</v>
      </c>
      <c r="G7" s="653">
        <v>5000</v>
      </c>
      <c r="H7" s="658">
        <f>'FY 24-25 Budget Form A'!G19</f>
        <v>0</v>
      </c>
      <c r="I7" s="658">
        <f>'FY 24-25 Budget Form A'!H19</f>
        <v>0</v>
      </c>
      <c r="J7" s="658">
        <f>'FY 24-25 Budget Form A'!I19</f>
        <v>0</v>
      </c>
      <c r="K7" s="658">
        <f>'FY 24-25 Budget Form A'!J19</f>
        <v>0</v>
      </c>
      <c r="L7" s="658">
        <f>'FY 24-25 Budget Form A'!K19</f>
        <v>0</v>
      </c>
      <c r="M7" s="658">
        <f>'FY 24-25 Budget Form A'!L19</f>
        <v>0</v>
      </c>
      <c r="N7" s="658">
        <f>'FY 24-25 Budget Form A'!M19</f>
        <v>0</v>
      </c>
      <c r="O7" s="658">
        <f>'FY 24-25 Budget Form A'!N19</f>
        <v>0</v>
      </c>
    </row>
    <row r="8" spans="1:15">
      <c r="A8" s="657">
        <v>45657</v>
      </c>
      <c r="B8" s="641" t="s">
        <v>4350</v>
      </c>
      <c r="C8" s="641" t="s">
        <v>4351</v>
      </c>
      <c r="D8" s="648" t="s">
        <v>92</v>
      </c>
      <c r="E8" s="648" t="s">
        <v>4345</v>
      </c>
      <c r="F8" s="648" t="s">
        <v>680</v>
      </c>
      <c r="G8" s="653">
        <v>1100</v>
      </c>
      <c r="H8" s="658">
        <f>'FY 24-25 Budget Form A'!G24</f>
        <v>698948.7100000002</v>
      </c>
      <c r="I8" s="658">
        <f>'FY 24-25 Budget Form A'!H24</f>
        <v>1016901.2717750241</v>
      </c>
      <c r="J8" s="658">
        <f>'FY 24-25 Budget Form A'!I24</f>
        <v>535124.29</v>
      </c>
      <c r="K8" s="658">
        <f>'FY 24-25 Budget Form A'!J24</f>
        <v>0</v>
      </c>
      <c r="L8" s="658">
        <f>'FY 24-25 Budget Form A'!K24</f>
        <v>700082</v>
      </c>
      <c r="M8" s="658">
        <f>'FY 24-25 Budget Form A'!L24</f>
        <v>754717.42354209523</v>
      </c>
      <c r="N8" s="658">
        <f>'FY 24-25 Budget Form A'!M24</f>
        <v>250195.46999999994</v>
      </c>
      <c r="O8" s="658">
        <f>'FY 24-25 Budget Form A'!N24</f>
        <v>0</v>
      </c>
    </row>
    <row r="9" spans="1:15">
      <c r="A9" s="657">
        <v>45657</v>
      </c>
      <c r="B9" s="641" t="s">
        <v>4350</v>
      </c>
      <c r="C9" s="641" t="s">
        <v>4351</v>
      </c>
      <c r="D9" s="648" t="s">
        <v>92</v>
      </c>
      <c r="E9" s="648" t="s">
        <v>4345</v>
      </c>
      <c r="F9" s="648" t="s">
        <v>681</v>
      </c>
      <c r="G9" s="653">
        <v>1200</v>
      </c>
      <c r="H9" s="658">
        <f>'FY 24-25 Budget Form A'!G25</f>
        <v>148471.91</v>
      </c>
      <c r="I9" s="658">
        <f>'FY 24-25 Budget Form A'!H25</f>
        <v>56805.807807573401</v>
      </c>
      <c r="J9" s="658">
        <f>'FY 24-25 Budget Form A'!I25</f>
        <v>85121.390000000014</v>
      </c>
      <c r="K9" s="658">
        <f>'FY 24-25 Budget Form A'!J25</f>
        <v>0</v>
      </c>
      <c r="L9" s="658">
        <f>'FY 24-25 Budget Form A'!K25</f>
        <v>88811</v>
      </c>
      <c r="M9" s="658">
        <f>'FY 24-25 Budget Form A'!L25</f>
        <v>139376.53534496343</v>
      </c>
      <c r="N9" s="658">
        <f>'FY 24-25 Budget Form A'!M25</f>
        <v>38202.649999999994</v>
      </c>
      <c r="O9" s="658">
        <f>'FY 24-25 Budget Form A'!N25</f>
        <v>0</v>
      </c>
    </row>
    <row r="10" spans="1:15">
      <c r="A10" s="657">
        <v>45657</v>
      </c>
      <c r="B10" s="641" t="s">
        <v>4350</v>
      </c>
      <c r="C10" s="641" t="s">
        <v>4351</v>
      </c>
      <c r="D10" s="648" t="s">
        <v>92</v>
      </c>
      <c r="E10" s="648" t="s">
        <v>4345</v>
      </c>
      <c r="F10" s="648" t="s">
        <v>683</v>
      </c>
      <c r="G10" s="653">
        <v>1300</v>
      </c>
      <c r="H10" s="658">
        <f>'FY 24-25 Budget Form A'!G26</f>
        <v>0</v>
      </c>
      <c r="I10" s="658">
        <f>'FY 24-25 Budget Form A'!H26</f>
        <v>0</v>
      </c>
      <c r="J10" s="658">
        <f>'FY 24-25 Budget Form A'!I26</f>
        <v>0</v>
      </c>
      <c r="K10" s="658">
        <f>'FY 24-25 Budget Form A'!J26</f>
        <v>0</v>
      </c>
      <c r="L10" s="658">
        <f>'FY 24-25 Budget Form A'!K26</f>
        <v>0</v>
      </c>
      <c r="M10" s="658">
        <f>'FY 24-25 Budget Form A'!L26</f>
        <v>0</v>
      </c>
      <c r="N10" s="658">
        <f>'FY 24-25 Budget Form A'!M26</f>
        <v>0</v>
      </c>
      <c r="O10" s="658">
        <f>'FY 24-25 Budget Form A'!N26</f>
        <v>0</v>
      </c>
    </row>
    <row r="11" spans="1:15">
      <c r="A11" s="657">
        <v>45657</v>
      </c>
      <c r="B11" s="641" t="s">
        <v>4350</v>
      </c>
      <c r="C11" s="641" t="s">
        <v>4351</v>
      </c>
      <c r="D11" s="648" t="s">
        <v>92</v>
      </c>
      <c r="E11" s="648" t="s">
        <v>4345</v>
      </c>
      <c r="F11" s="648" t="s">
        <v>685</v>
      </c>
      <c r="G11" s="653">
        <v>1400</v>
      </c>
      <c r="H11" s="658">
        <f>'FY 24-25 Budget Form A'!G27</f>
        <v>0</v>
      </c>
      <c r="I11" s="658">
        <f>'FY 24-25 Budget Form A'!H27</f>
        <v>5000</v>
      </c>
      <c r="J11" s="658">
        <f>'FY 24-25 Budget Form A'!I27</f>
        <v>0</v>
      </c>
      <c r="K11" s="658">
        <f>'FY 24-25 Budget Form A'!J27</f>
        <v>0</v>
      </c>
      <c r="L11" s="658">
        <f>'FY 24-25 Budget Form A'!K27</f>
        <v>0</v>
      </c>
      <c r="M11" s="658">
        <f>'FY 24-25 Budget Form A'!L27</f>
        <v>0</v>
      </c>
      <c r="N11" s="658">
        <f>'FY 24-25 Budget Form A'!M27</f>
        <v>0</v>
      </c>
      <c r="O11" s="658">
        <f>'FY 24-25 Budget Form A'!N27</f>
        <v>0</v>
      </c>
    </row>
    <row r="12" spans="1:15">
      <c r="A12" s="657">
        <v>45657</v>
      </c>
      <c r="B12" s="641" t="s">
        <v>4350</v>
      </c>
      <c r="C12" s="641" t="s">
        <v>4351</v>
      </c>
      <c r="D12" s="648" t="s">
        <v>92</v>
      </c>
      <c r="E12" s="648" t="s">
        <v>4345</v>
      </c>
      <c r="F12" s="648" t="s">
        <v>687</v>
      </c>
      <c r="G12" s="653">
        <v>1500</v>
      </c>
      <c r="H12" s="658">
        <f>'FY 24-25 Budget Form A'!G28</f>
        <v>97866.67</v>
      </c>
      <c r="I12" s="658">
        <f>'FY 24-25 Budget Form A'!H28</f>
        <v>94216.110048148519</v>
      </c>
      <c r="J12" s="658">
        <f>'FY 24-25 Budget Form A'!I28</f>
        <v>24834.65</v>
      </c>
      <c r="K12" s="658">
        <f>'FY 24-25 Budget Form A'!J28</f>
        <v>0</v>
      </c>
      <c r="L12" s="658">
        <f>'FY 24-25 Budget Form A'!K28</f>
        <v>1251</v>
      </c>
      <c r="M12" s="658">
        <f>'FY 24-25 Budget Form A'!L28</f>
        <v>102296.77037148364</v>
      </c>
      <c r="N12" s="658">
        <f>'FY 24-25 Budget Form A'!M28</f>
        <v>800</v>
      </c>
      <c r="O12" s="658">
        <f>'FY 24-25 Budget Form A'!N28</f>
        <v>0</v>
      </c>
    </row>
    <row r="13" spans="1:15">
      <c r="A13" s="657">
        <v>45657</v>
      </c>
      <c r="B13" s="641" t="s">
        <v>4350</v>
      </c>
      <c r="C13" s="641" t="s">
        <v>4351</v>
      </c>
      <c r="D13" s="648" t="s">
        <v>92</v>
      </c>
      <c r="E13" s="648" t="s">
        <v>4345</v>
      </c>
      <c r="F13" s="648" t="s">
        <v>689</v>
      </c>
      <c r="G13" s="653">
        <v>1600</v>
      </c>
      <c r="H13" s="658">
        <f>'FY 24-25 Budget Form A'!G29</f>
        <v>0</v>
      </c>
      <c r="I13" s="658">
        <f>'FY 24-25 Budget Form A'!H29</f>
        <v>0</v>
      </c>
      <c r="J13" s="658">
        <f>'FY 24-25 Budget Form A'!I29</f>
        <v>0</v>
      </c>
      <c r="K13" s="658">
        <f>'FY 24-25 Budget Form A'!J29</f>
        <v>0</v>
      </c>
      <c r="L13" s="658">
        <f>'FY 24-25 Budget Form A'!K29</f>
        <v>0</v>
      </c>
      <c r="M13" s="658">
        <f>'FY 24-25 Budget Form A'!L29</f>
        <v>0</v>
      </c>
      <c r="N13" s="658">
        <f>'FY 24-25 Budget Form A'!M29</f>
        <v>0</v>
      </c>
      <c r="O13" s="658">
        <f>'FY 24-25 Budget Form A'!N29</f>
        <v>0</v>
      </c>
    </row>
    <row r="14" spans="1:15">
      <c r="A14" s="657">
        <v>45657</v>
      </c>
      <c r="B14" s="641" t="s">
        <v>4350</v>
      </c>
      <c r="C14" s="641" t="s">
        <v>4351</v>
      </c>
      <c r="D14" s="648" t="s">
        <v>92</v>
      </c>
      <c r="E14" s="648" t="s">
        <v>4346</v>
      </c>
      <c r="F14" s="648" t="s">
        <v>694</v>
      </c>
      <c r="G14" s="649">
        <v>2100</v>
      </c>
      <c r="H14" s="658">
        <f>'FY 24-25 Budget Form A'!G32</f>
        <v>91767.159999999989</v>
      </c>
      <c r="I14" s="658">
        <f>'FY 24-25 Budget Form A'!H32</f>
        <v>92250</v>
      </c>
      <c r="J14" s="658">
        <f>'FY 24-25 Budget Form A'!I32</f>
        <v>91872.55</v>
      </c>
      <c r="K14" s="658">
        <f>'FY 24-25 Budget Form A'!J32</f>
        <v>0</v>
      </c>
      <c r="L14" s="658">
        <f>'FY 24-25 Budget Form A'!K32</f>
        <v>63984</v>
      </c>
      <c r="M14" s="658">
        <f>'FY 24-25 Budget Form A'!L32</f>
        <v>55336</v>
      </c>
      <c r="N14" s="658">
        <f>'FY 24-25 Budget Form A'!M32</f>
        <v>800</v>
      </c>
      <c r="O14" s="658">
        <f>'FY 24-25 Budget Form A'!N32</f>
        <v>0</v>
      </c>
    </row>
    <row r="15" spans="1:15">
      <c r="A15" s="657">
        <v>45657</v>
      </c>
      <c r="B15" s="641" t="s">
        <v>4350</v>
      </c>
      <c r="C15" s="641" t="s">
        <v>4351</v>
      </c>
      <c r="D15" s="648" t="s">
        <v>92</v>
      </c>
      <c r="E15" s="648" t="s">
        <v>4346</v>
      </c>
      <c r="F15" s="648" t="s">
        <v>696</v>
      </c>
      <c r="G15" s="649">
        <v>2200</v>
      </c>
      <c r="H15" s="658">
        <f>'FY 24-25 Budget Form A'!G33</f>
        <v>287837.62</v>
      </c>
      <c r="I15" s="658">
        <f>'FY 24-25 Budget Form A'!H33</f>
        <v>194635.78181941083</v>
      </c>
      <c r="J15" s="658">
        <f>'FY 24-25 Budget Form A'!I33</f>
        <v>127777.42</v>
      </c>
      <c r="K15" s="658">
        <f>'FY 24-25 Budget Form A'!J33</f>
        <v>0</v>
      </c>
      <c r="L15" s="658">
        <f>'FY 24-25 Budget Form A'!K33</f>
        <v>131936</v>
      </c>
      <c r="M15" s="658">
        <f>'FY 24-25 Budget Form A'!L33</f>
        <v>148956.11751495631</v>
      </c>
      <c r="N15" s="658">
        <f>'FY 24-25 Budget Form A'!M33</f>
        <v>19372.099999999999</v>
      </c>
      <c r="O15" s="658">
        <f>'FY 24-25 Budget Form A'!N33</f>
        <v>0</v>
      </c>
    </row>
    <row r="16" spans="1:15">
      <c r="A16" s="657">
        <v>45657</v>
      </c>
      <c r="B16" s="641" t="s">
        <v>4350</v>
      </c>
      <c r="C16" s="641" t="s">
        <v>4351</v>
      </c>
      <c r="D16" s="648" t="s">
        <v>92</v>
      </c>
      <c r="E16" s="648" t="s">
        <v>4346</v>
      </c>
      <c r="F16" s="648" t="s">
        <v>698</v>
      </c>
      <c r="G16" s="649">
        <v>2300</v>
      </c>
      <c r="H16" s="658">
        <f>'FY 24-25 Budget Form A'!G34</f>
        <v>93945.72</v>
      </c>
      <c r="I16" s="658">
        <f>'FY 24-25 Budget Form A'!H34</f>
        <v>111177</v>
      </c>
      <c r="J16" s="658">
        <f>'FY 24-25 Budget Form A'!I34</f>
        <v>27169.41</v>
      </c>
      <c r="K16" s="658">
        <f>'FY 24-25 Budget Form A'!J34</f>
        <v>0</v>
      </c>
      <c r="L16" s="658">
        <f>'FY 24-25 Budget Form A'!K34</f>
        <v>0</v>
      </c>
      <c r="M16" s="658">
        <f>'FY 24-25 Budget Form A'!L34</f>
        <v>0</v>
      </c>
      <c r="N16" s="658">
        <f>'FY 24-25 Budget Form A'!M34</f>
        <v>0</v>
      </c>
      <c r="O16" s="658">
        <f>'FY 24-25 Budget Form A'!N34</f>
        <v>0</v>
      </c>
    </row>
    <row r="17" spans="1:17">
      <c r="A17" s="657">
        <v>45657</v>
      </c>
      <c r="B17" s="641" t="s">
        <v>4350</v>
      </c>
      <c r="C17" s="641" t="s">
        <v>4351</v>
      </c>
      <c r="D17" s="648" t="s">
        <v>92</v>
      </c>
      <c r="E17" s="648" t="s">
        <v>4346</v>
      </c>
      <c r="F17" s="648" t="s">
        <v>700</v>
      </c>
      <c r="G17" s="649">
        <v>2400</v>
      </c>
      <c r="H17" s="658">
        <f>'FY 24-25 Budget Form A'!G35</f>
        <v>359930.05</v>
      </c>
      <c r="I17" s="658">
        <f>'FY 24-25 Budget Form A'!H35</f>
        <v>730598.28949277173</v>
      </c>
      <c r="J17" s="658">
        <f>'FY 24-25 Budget Form A'!I35</f>
        <v>332901.61</v>
      </c>
      <c r="K17" s="658">
        <f>'FY 24-25 Budget Form A'!J35</f>
        <v>0</v>
      </c>
      <c r="L17" s="658">
        <f>'FY 24-25 Budget Form A'!K35</f>
        <v>197651.18</v>
      </c>
      <c r="M17" s="658">
        <f>'FY 24-25 Budget Form A'!L35</f>
        <v>360144.76804075961</v>
      </c>
      <c r="N17" s="658">
        <f>'FY 24-25 Budget Form A'!M35</f>
        <v>12758.91</v>
      </c>
      <c r="O17" s="658">
        <f>'FY 24-25 Budget Form A'!N35</f>
        <v>0</v>
      </c>
    </row>
    <row r="18" spans="1:17">
      <c r="A18" s="657">
        <v>45657</v>
      </c>
      <c r="B18" s="641" t="s">
        <v>4350</v>
      </c>
      <c r="C18" s="641" t="s">
        <v>4351</v>
      </c>
      <c r="D18" s="648" t="s">
        <v>92</v>
      </c>
      <c r="E18" s="648" t="s">
        <v>4346</v>
      </c>
      <c r="F18" s="648" t="s">
        <v>701</v>
      </c>
      <c r="G18" s="649">
        <v>2500</v>
      </c>
      <c r="H18" s="658">
        <f>'FY 24-25 Budget Form A'!G36</f>
        <v>11932.22</v>
      </c>
      <c r="I18" s="658">
        <f>'FY 24-25 Budget Form A'!H36</f>
        <v>143608.05502407425</v>
      </c>
      <c r="J18" s="658">
        <f>'FY 24-25 Budget Form A'!I36</f>
        <v>52404.1</v>
      </c>
      <c r="K18" s="658">
        <f>'FY 24-25 Budget Form A'!J36</f>
        <v>0</v>
      </c>
      <c r="L18" s="658">
        <f>'FY 24-25 Budget Form A'!K36</f>
        <v>73368.75</v>
      </c>
      <c r="M18" s="658">
        <f>'FY 24-25 Budget Form A'!L36</f>
        <v>2973.3851857418176</v>
      </c>
      <c r="N18" s="658">
        <f>'FY 24-25 Budget Form A'!M36</f>
        <v>0</v>
      </c>
      <c r="O18" s="658">
        <f>'FY 24-25 Budget Form A'!N36</f>
        <v>0</v>
      </c>
    </row>
    <row r="19" spans="1:17">
      <c r="A19" s="657">
        <v>45657</v>
      </c>
      <c r="B19" s="641" t="s">
        <v>4350</v>
      </c>
      <c r="C19" s="641" t="s">
        <v>4351</v>
      </c>
      <c r="D19" s="648" t="s">
        <v>92</v>
      </c>
      <c r="E19" s="648" t="s">
        <v>4346</v>
      </c>
      <c r="F19" s="648" t="s">
        <v>703</v>
      </c>
      <c r="G19" s="649">
        <v>2600</v>
      </c>
      <c r="H19" s="658">
        <f>'FY 24-25 Budget Form A'!G37</f>
        <v>243923.02</v>
      </c>
      <c r="I19" s="658">
        <f>'FY 24-25 Budget Form A'!H37</f>
        <v>337750</v>
      </c>
      <c r="J19" s="658">
        <f>'FY 24-25 Budget Form A'!I37</f>
        <v>198276.36000000002</v>
      </c>
      <c r="K19" s="658">
        <f>'FY 24-25 Budget Form A'!J37</f>
        <v>0</v>
      </c>
      <c r="L19" s="658">
        <f>'FY 24-25 Budget Form A'!K37</f>
        <v>92526.11</v>
      </c>
      <c r="M19" s="658">
        <f>'FY 24-25 Budget Form A'!L37</f>
        <v>0</v>
      </c>
      <c r="N19" s="658">
        <f>'FY 24-25 Budget Form A'!M37</f>
        <v>0</v>
      </c>
      <c r="O19" s="658">
        <f>'FY 24-25 Budget Form A'!N37</f>
        <v>0</v>
      </c>
    </row>
    <row r="20" spans="1:17">
      <c r="A20" s="657">
        <v>45657</v>
      </c>
      <c r="B20" s="641" t="s">
        <v>4350</v>
      </c>
      <c r="C20" s="641" t="s">
        <v>4351</v>
      </c>
      <c r="D20" s="648" t="s">
        <v>92</v>
      </c>
      <c r="E20" s="648" t="s">
        <v>4346</v>
      </c>
      <c r="F20" s="648" t="s">
        <v>705</v>
      </c>
      <c r="G20" s="652">
        <v>2700</v>
      </c>
      <c r="H20" s="658">
        <f>'FY 24-25 Budget Form A'!G38</f>
        <v>73078.770000000019</v>
      </c>
      <c r="I20" s="658">
        <f>'FY 24-25 Budget Form A'!H38</f>
        <v>301360</v>
      </c>
      <c r="J20" s="658">
        <f>'FY 24-25 Budget Form A'!I38</f>
        <v>82095.86</v>
      </c>
      <c r="K20" s="658">
        <f>'FY 24-25 Budget Form A'!J38</f>
        <v>0</v>
      </c>
      <c r="L20" s="658">
        <f>'FY 24-25 Budget Form A'!K38</f>
        <v>199776.82</v>
      </c>
      <c r="M20" s="658">
        <f>'FY 24-25 Budget Form A'!L38</f>
        <v>50000</v>
      </c>
      <c r="N20" s="658">
        <f>'FY 24-25 Budget Form A'!M38</f>
        <v>0</v>
      </c>
      <c r="O20" s="658">
        <f>'FY 24-25 Budget Form A'!N38</f>
        <v>0</v>
      </c>
    </row>
    <row r="21" spans="1:17">
      <c r="A21" s="657">
        <v>45657</v>
      </c>
      <c r="B21" s="641" t="s">
        <v>4350</v>
      </c>
      <c r="C21" s="641" t="s">
        <v>4351</v>
      </c>
      <c r="D21" s="648" t="s">
        <v>92</v>
      </c>
      <c r="E21" s="648" t="s">
        <v>4346</v>
      </c>
      <c r="F21" s="648" t="s">
        <v>707</v>
      </c>
      <c r="G21" s="651">
        <v>2800</v>
      </c>
      <c r="H21" s="658">
        <f>'FY 24-25 Budget Form A'!G39</f>
        <v>60286.649999999994</v>
      </c>
      <c r="I21" s="658">
        <f>'FY 24-25 Budget Form A'!H39</f>
        <v>74750</v>
      </c>
      <c r="J21" s="658">
        <f>'FY 24-25 Budget Form A'!I39</f>
        <v>122961.42000000001</v>
      </c>
      <c r="K21" s="658">
        <f>'FY 24-25 Budget Form A'!J39</f>
        <v>0</v>
      </c>
      <c r="L21" s="658">
        <f>'FY 24-25 Budget Form A'!K39</f>
        <v>136417.43</v>
      </c>
      <c r="M21" s="658">
        <f>'FY 24-25 Budget Form A'!L39</f>
        <v>100000</v>
      </c>
      <c r="N21" s="658">
        <f>'FY 24-25 Budget Form A'!M39</f>
        <v>0</v>
      </c>
      <c r="O21" s="658">
        <f>'FY 24-25 Budget Form A'!N39</f>
        <v>0</v>
      </c>
    </row>
    <row r="22" spans="1:17">
      <c r="A22" s="657">
        <v>45657</v>
      </c>
      <c r="B22" s="641" t="s">
        <v>4350</v>
      </c>
      <c r="C22" s="641" t="s">
        <v>4351</v>
      </c>
      <c r="D22" s="648" t="s">
        <v>92</v>
      </c>
      <c r="E22" s="648" t="s">
        <v>4347</v>
      </c>
      <c r="F22" s="648" t="s">
        <v>712</v>
      </c>
      <c r="G22" s="649">
        <v>3100</v>
      </c>
      <c r="H22" s="658">
        <f>'FY 24-25 Budget Form A'!G42</f>
        <v>0</v>
      </c>
      <c r="I22" s="658">
        <f>'FY 24-25 Budget Form A'!H42</f>
        <v>267500</v>
      </c>
      <c r="J22" s="658">
        <f>'FY 24-25 Budget Form A'!I42</f>
        <v>1136.04</v>
      </c>
      <c r="K22" s="658">
        <f>'FY 24-25 Budget Form A'!J42</f>
        <v>0</v>
      </c>
      <c r="L22" s="658">
        <f>'FY 24-25 Budget Form A'!K42</f>
        <v>151717.74</v>
      </c>
      <c r="M22" s="658">
        <f>'FY 24-25 Budget Form A'!L42</f>
        <v>0</v>
      </c>
      <c r="N22" s="658">
        <f>'FY 24-25 Budget Form A'!M42</f>
        <v>64348.119999999995</v>
      </c>
      <c r="O22" s="658">
        <f>'FY 24-25 Budget Form A'!N42</f>
        <v>0</v>
      </c>
    </row>
    <row r="23" spans="1:17">
      <c r="A23" s="657">
        <v>45657</v>
      </c>
      <c r="B23" s="641" t="s">
        <v>4350</v>
      </c>
      <c r="C23" s="641" t="s">
        <v>4351</v>
      </c>
      <c r="D23" s="648" t="s">
        <v>92</v>
      </c>
      <c r="E23" s="648" t="s">
        <v>4347</v>
      </c>
      <c r="F23" s="648" t="s">
        <v>713</v>
      </c>
      <c r="G23" s="649">
        <v>3200</v>
      </c>
      <c r="H23" s="658">
        <f>'FY 24-25 Budget Form A'!G43</f>
        <v>0</v>
      </c>
      <c r="I23" s="658">
        <f>'FY 24-25 Budget Form A'!H43</f>
        <v>0</v>
      </c>
      <c r="J23" s="658">
        <f>'FY 24-25 Budget Form A'!I43</f>
        <v>0</v>
      </c>
      <c r="K23" s="658">
        <f>'FY 24-25 Budget Form A'!J43</f>
        <v>0</v>
      </c>
      <c r="L23" s="658">
        <f>'FY 24-25 Budget Form A'!K43</f>
        <v>0</v>
      </c>
      <c r="M23" s="658">
        <f>'FY 24-25 Budget Form A'!L43</f>
        <v>0</v>
      </c>
      <c r="N23" s="658">
        <f>'FY 24-25 Budget Form A'!M43</f>
        <v>0</v>
      </c>
      <c r="O23" s="658">
        <f>'FY 24-25 Budget Form A'!N43</f>
        <v>0</v>
      </c>
    </row>
    <row r="24" spans="1:17">
      <c r="A24" s="657">
        <v>45657</v>
      </c>
      <c r="B24" s="641" t="s">
        <v>4350</v>
      </c>
      <c r="C24" s="641" t="s">
        <v>4351</v>
      </c>
      <c r="D24" s="648" t="s">
        <v>92</v>
      </c>
      <c r="E24" s="648" t="s">
        <v>4347</v>
      </c>
      <c r="F24" s="648" t="s">
        <v>715</v>
      </c>
      <c r="G24" s="652">
        <v>3300</v>
      </c>
      <c r="H24" s="658">
        <f>'FY 24-25 Budget Form A'!G44</f>
        <v>0</v>
      </c>
      <c r="I24" s="658">
        <f>'FY 24-25 Budget Form A'!H44</f>
        <v>0</v>
      </c>
      <c r="J24" s="658">
        <f>'FY 24-25 Budget Form A'!I44</f>
        <v>0</v>
      </c>
      <c r="K24" s="658">
        <f>'FY 24-25 Budget Form A'!J44</f>
        <v>0</v>
      </c>
      <c r="L24" s="658">
        <f>'FY 24-25 Budget Form A'!K44</f>
        <v>0</v>
      </c>
      <c r="M24" s="658">
        <f>'FY 24-25 Budget Form A'!L44</f>
        <v>0</v>
      </c>
      <c r="N24" s="658">
        <f>'FY 24-25 Budget Form A'!M44</f>
        <v>0</v>
      </c>
      <c r="O24" s="658">
        <f>'FY 24-25 Budget Form A'!N44</f>
        <v>0</v>
      </c>
    </row>
    <row r="25" spans="1:17">
      <c r="A25" s="657">
        <v>45657</v>
      </c>
      <c r="B25" s="641" t="s">
        <v>4350</v>
      </c>
      <c r="C25" s="641" t="s">
        <v>4351</v>
      </c>
      <c r="D25" s="648" t="s">
        <v>92</v>
      </c>
      <c r="E25" s="650" t="s">
        <v>719</v>
      </c>
      <c r="F25" s="650" t="s">
        <v>719</v>
      </c>
      <c r="G25" s="651">
        <v>4000</v>
      </c>
      <c r="H25" s="658">
        <f>'FY 24-25 Budget Form A'!G46</f>
        <v>0</v>
      </c>
      <c r="I25" s="658">
        <f>'FY 24-25 Budget Form A'!H46</f>
        <v>0</v>
      </c>
      <c r="J25" s="658">
        <f>'FY 24-25 Budget Form A'!I46</f>
        <v>0</v>
      </c>
      <c r="K25" s="658">
        <f>'FY 24-25 Budget Form A'!J46</f>
        <v>0</v>
      </c>
      <c r="L25" s="658">
        <f>'FY 24-25 Budget Form A'!K46</f>
        <v>0</v>
      </c>
      <c r="M25" s="658">
        <f>'FY 24-25 Budget Form A'!L46</f>
        <v>0</v>
      </c>
      <c r="N25" s="658">
        <f>'FY 24-25 Budget Form A'!M46</f>
        <v>0</v>
      </c>
      <c r="O25" s="658">
        <f>'FY 24-25 Budget Form A'!N46</f>
        <v>0</v>
      </c>
    </row>
    <row r="26" spans="1:17">
      <c r="A26" s="657">
        <v>45657</v>
      </c>
      <c r="B26" s="641" t="s">
        <v>4350</v>
      </c>
      <c r="C26" s="641" t="s">
        <v>4351</v>
      </c>
      <c r="D26" s="648" t="s">
        <v>92</v>
      </c>
      <c r="E26" s="650" t="s">
        <v>720</v>
      </c>
      <c r="F26" s="650" t="s">
        <v>720</v>
      </c>
      <c r="G26" s="649">
        <v>5100</v>
      </c>
      <c r="H26" s="658">
        <f>'FY 24-25 Budget Form A'!G47</f>
        <v>0</v>
      </c>
      <c r="I26" s="658">
        <f>'FY 24-25 Budget Form A'!H47</f>
        <v>0</v>
      </c>
      <c r="J26" s="658">
        <f>'FY 24-25 Budget Form A'!I47</f>
        <v>0</v>
      </c>
      <c r="K26" s="658">
        <f>'FY 24-25 Budget Form A'!J47</f>
        <v>0</v>
      </c>
      <c r="L26" s="658">
        <f>'FY 24-25 Budget Form A'!K47</f>
        <v>0</v>
      </c>
      <c r="M26" s="658">
        <f>'FY 24-25 Budget Form A'!L47</f>
        <v>0</v>
      </c>
      <c r="N26" s="658">
        <f>'FY 24-25 Budget Form A'!M47</f>
        <v>0</v>
      </c>
      <c r="O26" s="658">
        <f>'FY 24-25 Budget Form A'!N47</f>
        <v>0</v>
      </c>
    </row>
    <row r="27" spans="1:17">
      <c r="A27" s="657">
        <v>45657</v>
      </c>
      <c r="B27" s="641" t="s">
        <v>4350</v>
      </c>
      <c r="C27" s="641" t="s">
        <v>4351</v>
      </c>
      <c r="D27" s="648" t="s">
        <v>92</v>
      </c>
      <c r="E27" s="648" t="s">
        <v>4348</v>
      </c>
      <c r="F27" s="648" t="s">
        <v>4349</v>
      </c>
      <c r="G27" s="649">
        <v>5200</v>
      </c>
      <c r="H27" s="658">
        <f>'FY 24-25 Budget Form A'!G50</f>
        <v>-146393</v>
      </c>
      <c r="I27" s="658">
        <f>'FY 24-25 Budget Form A'!H50</f>
        <v>0</v>
      </c>
      <c r="J27" s="658">
        <f>'FY 24-25 Budget Form A'!I50</f>
        <v>-9400</v>
      </c>
      <c r="K27" s="658">
        <f>'FY 24-25 Budget Form A'!J50</f>
        <v>0</v>
      </c>
      <c r="L27" s="658">
        <f>'FY 24-25 Budget Form A'!K50</f>
        <v>146393</v>
      </c>
      <c r="M27" s="658">
        <f>'FY 24-25 Budget Form A'!L50</f>
        <v>0</v>
      </c>
      <c r="N27" s="658">
        <f>'FY 24-25 Budget Form A'!M50</f>
        <v>9400</v>
      </c>
      <c r="O27" s="658">
        <f>'FY 24-25 Budget Form A'!N50</f>
        <v>0</v>
      </c>
    </row>
    <row r="28" spans="1:17">
      <c r="A28" s="643"/>
      <c r="B28" s="643"/>
      <c r="C28" s="643"/>
      <c r="D28" s="642"/>
      <c r="E28" s="642"/>
      <c r="F28" s="642"/>
      <c r="G28" s="646"/>
      <c r="H28" s="646"/>
      <c r="I28" s="646"/>
      <c r="J28" s="646"/>
      <c r="K28" s="646"/>
      <c r="L28" s="646"/>
      <c r="M28" s="646"/>
      <c r="N28" s="646"/>
      <c r="O28" s="646"/>
      <c r="P28" s="646"/>
      <c r="Q28" s="646"/>
    </row>
    <row r="29" spans="1:17">
      <c r="A29" s="643"/>
      <c r="B29" s="643"/>
      <c r="C29" s="643"/>
      <c r="D29" s="642"/>
      <c r="E29" s="642"/>
      <c r="F29" s="647"/>
      <c r="G29" s="646"/>
      <c r="H29" s="646"/>
      <c r="I29" s="646"/>
      <c r="J29" s="646"/>
      <c r="K29" s="646"/>
      <c r="L29" s="646"/>
      <c r="M29" s="646"/>
      <c r="N29" s="646"/>
      <c r="O29" s="646"/>
      <c r="P29" s="646"/>
      <c r="Q29" s="646"/>
    </row>
    <row r="30" spans="1:17">
      <c r="A30" s="643"/>
      <c r="B30" s="643"/>
      <c r="C30" s="643"/>
      <c r="D30" s="642"/>
      <c r="E30" s="642"/>
      <c r="F30" s="645"/>
      <c r="G30" s="642"/>
      <c r="H30" s="642"/>
      <c r="I30" s="642"/>
      <c r="J30" s="642"/>
      <c r="K30" s="642"/>
      <c r="L30" s="642"/>
      <c r="M30" s="642"/>
      <c r="N30" s="642"/>
      <c r="O30" s="642"/>
      <c r="P30" s="642"/>
      <c r="Q30" s="642"/>
    </row>
    <row r="31" spans="1:17">
      <c r="A31" s="643"/>
      <c r="B31" s="643"/>
      <c r="C31" s="643"/>
      <c r="D31" s="642"/>
      <c r="E31" s="642"/>
      <c r="F31" s="642"/>
      <c r="G31" s="642"/>
      <c r="H31" s="642"/>
      <c r="I31" s="642"/>
      <c r="J31" s="642"/>
      <c r="K31" s="642"/>
      <c r="L31" s="642"/>
      <c r="M31" s="642"/>
      <c r="N31" s="642"/>
      <c r="O31" s="642"/>
      <c r="P31" s="642"/>
      <c r="Q31" s="642"/>
    </row>
    <row r="32" spans="1:17">
      <c r="A32" s="643"/>
      <c r="B32" s="643"/>
      <c r="C32" s="643"/>
      <c r="D32" s="642"/>
      <c r="E32" s="642"/>
      <c r="F32" s="642"/>
      <c r="G32" s="642"/>
      <c r="H32" s="642"/>
      <c r="I32" s="642"/>
      <c r="J32" s="642"/>
      <c r="K32" s="642"/>
      <c r="L32" s="642"/>
      <c r="M32" s="642"/>
      <c r="N32" s="642"/>
      <c r="O32" s="642"/>
      <c r="P32" s="642"/>
      <c r="Q32" s="642"/>
    </row>
    <row r="33" spans="1:15">
      <c r="A33" s="643"/>
      <c r="B33" s="643"/>
      <c r="C33" s="643"/>
      <c r="D33" s="642"/>
      <c r="E33" s="642"/>
      <c r="F33" s="642"/>
      <c r="G33" s="642"/>
      <c r="H33" s="642"/>
      <c r="I33" s="642"/>
      <c r="J33" s="642"/>
      <c r="K33" s="642"/>
      <c r="L33" s="642"/>
      <c r="M33" s="642"/>
      <c r="N33" s="642"/>
      <c r="O33" s="642"/>
    </row>
    <row r="34" spans="1:15">
      <c r="A34" s="643"/>
      <c r="B34" s="643"/>
      <c r="C34" s="643"/>
      <c r="D34" s="642"/>
      <c r="E34" s="642"/>
      <c r="F34" s="642"/>
      <c r="G34" s="642"/>
      <c r="H34" s="642"/>
      <c r="I34" s="642"/>
      <c r="J34" s="642"/>
      <c r="K34" s="642"/>
      <c r="L34" s="642"/>
      <c r="M34" s="642"/>
      <c r="N34" s="642"/>
      <c r="O34" s="642"/>
    </row>
    <row r="35" spans="1:15">
      <c r="A35" s="643"/>
      <c r="B35" s="643"/>
      <c r="C35" s="643"/>
      <c r="D35" s="642"/>
      <c r="E35" s="642"/>
      <c r="F35" s="642"/>
      <c r="G35" s="642"/>
      <c r="H35" s="642"/>
      <c r="I35" s="642"/>
      <c r="J35" s="642"/>
      <c r="K35" s="642"/>
      <c r="L35" s="642"/>
      <c r="M35" s="642"/>
      <c r="N35" s="642"/>
      <c r="O35" s="642"/>
    </row>
    <row r="36" spans="1:15">
      <c r="A36" s="643"/>
      <c r="B36" s="643"/>
      <c r="C36" s="643"/>
      <c r="D36" s="642"/>
      <c r="E36" s="642"/>
      <c r="F36" s="642"/>
      <c r="G36" s="642"/>
      <c r="H36" s="642"/>
      <c r="I36" s="642"/>
      <c r="J36" s="642"/>
      <c r="K36" s="642"/>
      <c r="L36" s="642"/>
      <c r="M36" s="642"/>
      <c r="N36" s="642"/>
      <c r="O36" s="642"/>
    </row>
    <row r="37" spans="1:15">
      <c r="A37" s="644"/>
      <c r="B37" s="644"/>
      <c r="C37" s="644"/>
      <c r="D37" s="642"/>
      <c r="E37" s="642"/>
      <c r="F37" s="642"/>
      <c r="G37" s="642"/>
      <c r="H37" s="642"/>
      <c r="I37" s="642"/>
      <c r="J37" s="642"/>
      <c r="K37" s="642"/>
      <c r="L37" s="642"/>
      <c r="M37" s="642"/>
      <c r="N37" s="642"/>
      <c r="O37" s="642"/>
    </row>
    <row r="38" spans="1:15">
      <c r="A38" s="643"/>
      <c r="B38" s="643"/>
      <c r="C38" s="643"/>
      <c r="D38" s="642"/>
      <c r="E38" s="642"/>
      <c r="F38" s="642"/>
      <c r="G38" s="642"/>
      <c r="H38" s="642"/>
      <c r="I38" s="642"/>
      <c r="J38" s="642"/>
      <c r="K38" s="642"/>
      <c r="L38" s="642"/>
      <c r="M38" s="642"/>
      <c r="N38" s="642"/>
      <c r="O38" s="642"/>
    </row>
    <row r="39" spans="1:15">
      <c r="D39" s="659"/>
      <c r="E39" s="659"/>
      <c r="F39" s="642"/>
      <c r="G39" s="659"/>
      <c r="H39" s="659"/>
      <c r="I39" s="659"/>
      <c r="J39" s="659"/>
      <c r="K39" s="659"/>
      <c r="L39" s="659"/>
      <c r="M39" s="659"/>
      <c r="N39" s="659"/>
      <c r="O39" s="659"/>
    </row>
    <row r="40" spans="1:15">
      <c r="F40" s="65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EBBF3-3133-4575-A923-8F06862130E5}">
  <dimension ref="A1:N67"/>
  <sheetViews>
    <sheetView tabSelected="1" topLeftCell="E7" zoomScaleNormal="100" workbookViewId="0">
      <selection activeCell="I9" sqref="I9:I11"/>
    </sheetView>
  </sheetViews>
  <sheetFormatPr defaultColWidth="10.53515625" defaultRowHeight="15.5"/>
  <cols>
    <col min="1" max="1" width="3" style="542" customWidth="1"/>
    <col min="2" max="2" width="4.3046875" style="542" customWidth="1"/>
    <col min="3" max="3" width="6.23046875" style="542" customWidth="1"/>
    <col min="4" max="4" width="37.4609375" style="542" customWidth="1"/>
    <col min="5" max="5" width="12.765625" style="542" bestFit="1" customWidth="1"/>
    <col min="6" max="6" width="11.23046875" style="542" customWidth="1"/>
    <col min="7" max="8" width="14.4609375" style="542" customWidth="1"/>
    <col min="9" max="9" width="15.4609375" style="542" customWidth="1"/>
    <col min="10" max="10" width="15.53515625" style="542" customWidth="1"/>
    <col min="11" max="12" width="14.4609375" style="542" customWidth="1"/>
    <col min="13" max="13" width="14.53515625" style="542" customWidth="1"/>
    <col min="14" max="14" width="16" style="542" customWidth="1"/>
    <col min="15" max="15" width="11.23046875" style="542" customWidth="1"/>
    <col min="16" max="16384" width="10.53515625" style="542"/>
  </cols>
  <sheetData>
    <row r="1" spans="1:14">
      <c r="B1" s="543"/>
      <c r="D1" s="544"/>
    </row>
    <row r="2" spans="1:14" ht="22" customHeight="1">
      <c r="A2" s="545" t="s">
        <v>645</v>
      </c>
      <c r="B2" s="546"/>
      <c r="C2" s="546"/>
      <c r="D2" s="546"/>
      <c r="E2" s="546"/>
      <c r="F2" s="546"/>
      <c r="G2" s="546"/>
      <c r="H2" s="546"/>
      <c r="I2" s="546"/>
      <c r="J2" s="546"/>
      <c r="K2" s="546"/>
      <c r="L2" s="546"/>
      <c r="M2" s="546"/>
      <c r="N2" s="546"/>
    </row>
    <row r="3" spans="1:14" ht="19.899999999999999" customHeight="1" thickBot="1">
      <c r="A3" s="547" t="s">
        <v>646</v>
      </c>
      <c r="B3" s="546"/>
      <c r="C3" s="546"/>
      <c r="D3" s="546"/>
      <c r="E3" s="546"/>
      <c r="F3" s="546"/>
      <c r="G3" s="546"/>
      <c r="H3" s="546"/>
      <c r="I3" s="546"/>
      <c r="J3" s="546"/>
      <c r="K3" s="546"/>
      <c r="L3" s="546"/>
      <c r="M3" s="546"/>
      <c r="N3" s="546"/>
    </row>
    <row r="4" spans="1:14" ht="16" thickTop="1">
      <c r="A4" s="548" t="s">
        <v>647</v>
      </c>
      <c r="D4" s="780" t="str">
        <f>'Annual Budget '!D5</f>
        <v>Redesign Lanier</v>
      </c>
      <c r="K4" s="549" t="s">
        <v>648</v>
      </c>
      <c r="L4" s="550"/>
      <c r="M4" s="550"/>
      <c r="N4" s="551"/>
    </row>
    <row r="5" spans="1:14" ht="16.899999999999999" customHeight="1" thickBot="1">
      <c r="B5" s="542" t="s">
        <v>649</v>
      </c>
      <c r="D5" s="781"/>
      <c r="K5" s="552" t="s">
        <v>650</v>
      </c>
      <c r="L5" s="553"/>
      <c r="M5" s="553"/>
      <c r="N5" s="554"/>
    </row>
    <row r="6" spans="1:14" ht="16" thickTop="1">
      <c r="A6" s="555"/>
      <c r="B6" s="556"/>
      <c r="C6" s="556"/>
      <c r="D6" s="557"/>
      <c r="E6" s="556"/>
      <c r="F6" s="557"/>
      <c r="G6" s="555"/>
      <c r="H6" s="556"/>
      <c r="I6" s="556"/>
      <c r="J6" s="556"/>
      <c r="K6" s="555"/>
      <c r="L6" s="556"/>
      <c r="M6" s="556"/>
      <c r="N6" s="557"/>
    </row>
    <row r="7" spans="1:14">
      <c r="A7" s="558"/>
      <c r="D7" s="559"/>
      <c r="E7" s="560" t="s">
        <v>2</v>
      </c>
      <c r="F7" s="561"/>
      <c r="G7" s="562" t="s">
        <v>651</v>
      </c>
      <c r="H7" s="560"/>
      <c r="I7" s="560"/>
      <c r="J7" s="560"/>
      <c r="K7" s="562" t="s">
        <v>652</v>
      </c>
      <c r="L7" s="560"/>
      <c r="M7" s="560"/>
      <c r="N7" s="563"/>
    </row>
    <row r="8" spans="1:14" ht="18" customHeight="1" thickBot="1">
      <c r="A8" s="562" t="s">
        <v>653</v>
      </c>
      <c r="B8" s="546"/>
      <c r="C8" s="546"/>
      <c r="D8" s="561"/>
      <c r="F8" s="559"/>
      <c r="G8" s="564"/>
      <c r="J8" s="565"/>
      <c r="K8" s="564"/>
      <c r="L8" s="565"/>
      <c r="M8" s="565"/>
      <c r="N8" s="566"/>
    </row>
    <row r="9" spans="1:14" ht="15.75" customHeight="1" thickTop="1">
      <c r="A9" s="558"/>
      <c r="D9" s="559"/>
      <c r="E9" s="567" t="s">
        <v>654</v>
      </c>
      <c r="F9" s="568" t="s">
        <v>655</v>
      </c>
      <c r="G9" s="782" t="s">
        <v>572</v>
      </c>
      <c r="H9" s="774" t="s">
        <v>617</v>
      </c>
      <c r="I9" s="777" t="s">
        <v>618</v>
      </c>
      <c r="J9" s="777" t="s">
        <v>619</v>
      </c>
      <c r="K9" s="782" t="s">
        <v>572</v>
      </c>
      <c r="L9" s="774" t="s">
        <v>617</v>
      </c>
      <c r="M9" s="777" t="s">
        <v>618</v>
      </c>
      <c r="N9" s="777" t="s">
        <v>619</v>
      </c>
    </row>
    <row r="10" spans="1:14" ht="15" customHeight="1">
      <c r="A10" s="558"/>
      <c r="D10" s="559"/>
      <c r="E10" s="569" t="s">
        <v>656</v>
      </c>
      <c r="F10" s="570" t="s">
        <v>657</v>
      </c>
      <c r="G10" s="783"/>
      <c r="H10" s="775" t="s">
        <v>621</v>
      </c>
      <c r="I10" s="778" t="s">
        <v>621</v>
      </c>
      <c r="J10" s="778" t="s">
        <v>621</v>
      </c>
      <c r="K10" s="783"/>
      <c r="L10" s="775" t="s">
        <v>621</v>
      </c>
      <c r="M10" s="778" t="s">
        <v>621</v>
      </c>
      <c r="N10" s="778" t="s">
        <v>621</v>
      </c>
    </row>
    <row r="11" spans="1:14" ht="15.75" customHeight="1" thickBot="1">
      <c r="A11" s="564"/>
      <c r="B11" s="565"/>
      <c r="C11" s="565"/>
      <c r="D11" s="566"/>
      <c r="E11" s="571" t="s">
        <v>658</v>
      </c>
      <c r="F11" s="572" t="s">
        <v>658</v>
      </c>
      <c r="G11" s="784"/>
      <c r="H11" s="776"/>
      <c r="I11" s="779"/>
      <c r="J11" s="779"/>
      <c r="K11" s="784"/>
      <c r="L11" s="776"/>
      <c r="M11" s="779"/>
      <c r="N11" s="779"/>
    </row>
    <row r="12" spans="1:14" ht="22" customHeight="1" thickTop="1">
      <c r="A12" s="573" t="s">
        <v>91</v>
      </c>
      <c r="B12" s="546"/>
      <c r="C12" s="546"/>
      <c r="D12" s="561"/>
      <c r="E12" s="574"/>
      <c r="F12" s="559"/>
      <c r="G12" s="559"/>
      <c r="H12" s="575"/>
      <c r="I12" s="575"/>
      <c r="J12" s="575"/>
      <c r="K12" s="575"/>
      <c r="L12" s="575"/>
      <c r="M12" s="575"/>
      <c r="N12" s="575"/>
    </row>
    <row r="13" spans="1:14" ht="16.899999999999999" customHeight="1">
      <c r="A13" s="558">
        <v>1</v>
      </c>
      <c r="B13" s="576" t="s">
        <v>659</v>
      </c>
      <c r="D13" s="559"/>
      <c r="E13" s="577" t="s">
        <v>660</v>
      </c>
      <c r="F13" s="527" t="s">
        <v>661</v>
      </c>
      <c r="G13" s="578">
        <f>SUMIF('Form A Mapping'!H:H, 'FY 24-25 Budget Form A'!A13,'Form A Mapping'!AB:AB)</f>
        <v>1214502.18</v>
      </c>
      <c r="H13" s="578">
        <f>SUMIF('Form A Mapping'!H:H, 'FY 24-25 Budget Form A'!A13,'Form A Mapping'!AC:AC)</f>
        <v>1949250.3734843242</v>
      </c>
      <c r="I13" s="578">
        <f>SUMIF('Form A Mapping'!H:H, 'FY 24-25 Budget Form A'!A13,'Form A Mapping'!AD:AD)</f>
        <v>703716.79</v>
      </c>
      <c r="J13" s="578">
        <f>SUMIF('Form A Mapping'!H:H, 'FY 24-25 Budget Form A'!A13,'Form A Mapping'!AE:AE)</f>
        <v>0</v>
      </c>
      <c r="K13" s="578">
        <f>SUMIF('Form A Mapping'!H:H, 'FY 24-25 Budget Form A'!A13,'Form A Mapping'!AF:AF)</f>
        <v>0</v>
      </c>
      <c r="L13" s="578">
        <f>SUMIF('Form A Mapping'!H:H, 'FY 24-25 Budget Form A'!A13,'Form A Mapping'!AG:AG)</f>
        <v>5218</v>
      </c>
      <c r="M13" s="578">
        <f>SUMIF('Form A Mapping'!H:H, 'FY 24-25 Budget Form A'!A13,'Form A Mapping'!AH:AH)</f>
        <v>0</v>
      </c>
      <c r="N13" s="578">
        <f>SUMIF('Form A Mapping'!H:H, 'FY 24-25 Budget Form A'!A13,'Form A Mapping'!AI:AI)</f>
        <v>0</v>
      </c>
    </row>
    <row r="14" spans="1:14" ht="16.899999999999999" customHeight="1">
      <c r="A14" s="558">
        <v>2</v>
      </c>
      <c r="B14" s="576" t="s">
        <v>662</v>
      </c>
      <c r="D14" s="559"/>
      <c r="E14" s="577" t="s">
        <v>663</v>
      </c>
      <c r="F14" s="527" t="s">
        <v>664</v>
      </c>
      <c r="G14" s="578">
        <f>SUMIF('Form A Mapping'!H:H, 'FY 24-25 Budget Form A'!A14,'Form A Mapping'!AB:AB)</f>
        <v>108814</v>
      </c>
      <c r="H14" s="578">
        <f>SUMIF('Form A Mapping'!H:H, 'FY 24-25 Budget Form A'!A14,'Form A Mapping'!AC:AC)</f>
        <v>411600</v>
      </c>
      <c r="I14" s="578">
        <f>SUMIF('Form A Mapping'!H:H, 'FY 24-25 Budget Form A'!A14,'Form A Mapping'!AD:AD)</f>
        <v>170136</v>
      </c>
      <c r="J14" s="578">
        <f>SUMIF('Form A Mapping'!H:H, 'FY 24-25 Budget Form A'!A14,'Form A Mapping'!AE:AE)</f>
        <v>0</v>
      </c>
      <c r="K14" s="578">
        <f>SUMIF('Form A Mapping'!H:H, 'FY 24-25 Budget Form A'!A14,'Form A Mapping'!AF:AF)</f>
        <v>0</v>
      </c>
      <c r="L14" s="578">
        <f>SUMIF('Form A Mapping'!H:H, 'FY 24-25 Budget Form A'!A14,'Form A Mapping'!AG:AG)</f>
        <v>0</v>
      </c>
      <c r="M14" s="578">
        <f>SUMIF('Form A Mapping'!H:H, 'FY 24-25 Budget Form A'!A14,'Form A Mapping'!AH:AH)</f>
        <v>0</v>
      </c>
      <c r="N14" s="578">
        <f>SUMIF('Form A Mapping'!H:H, 'FY 24-25 Budget Form A'!A14,'Form A Mapping'!AI:AI)</f>
        <v>0</v>
      </c>
    </row>
    <row r="15" spans="1:14" ht="16.899999999999999" customHeight="1">
      <c r="A15" s="558">
        <v>3</v>
      </c>
      <c r="B15" s="576" t="s">
        <v>665</v>
      </c>
      <c r="D15" s="559"/>
      <c r="E15" s="577" t="s">
        <v>663</v>
      </c>
      <c r="F15" s="527" t="s">
        <v>666</v>
      </c>
      <c r="G15" s="578">
        <f>SUMIF('Form A Mapping'!H:H, 'FY 24-25 Budget Form A'!A15,'Form A Mapping'!AB:AB)</f>
        <v>1013361</v>
      </c>
      <c r="H15" s="578">
        <f>SUMIF('Form A Mapping'!H:H, 'FY 24-25 Budget Form A'!A15,'Form A Mapping'!AC:AC)</f>
        <v>1390554.1230767467</v>
      </c>
      <c r="I15" s="578">
        <f>SUMIF('Form A Mapping'!H:H, 'FY 24-25 Budget Form A'!A15,'Form A Mapping'!AD:AD)</f>
        <v>416565</v>
      </c>
      <c r="J15" s="578">
        <f>SUMIF('Form A Mapping'!H:H, 'FY 24-25 Budget Form A'!A15,'Form A Mapping'!AE:AE)</f>
        <v>0</v>
      </c>
      <c r="K15" s="579"/>
      <c r="L15" s="579"/>
      <c r="M15" s="579"/>
      <c r="N15" s="579"/>
    </row>
    <row r="16" spans="1:14" ht="16.899999999999999" customHeight="1">
      <c r="A16" s="558">
        <v>4</v>
      </c>
      <c r="B16" s="576" t="s">
        <v>667</v>
      </c>
      <c r="D16" s="559"/>
      <c r="E16" s="577" t="s">
        <v>663</v>
      </c>
      <c r="F16" s="580" t="s">
        <v>668</v>
      </c>
      <c r="G16" s="579"/>
      <c r="H16" s="579"/>
      <c r="I16" s="579"/>
      <c r="J16" s="579"/>
      <c r="K16" s="578">
        <f>SUMIF('Form A Mapping'!H:H, 'FY 24-25 Budget Form A'!A16,'Form A Mapping'!AF:AF)</f>
        <v>0</v>
      </c>
      <c r="L16" s="578">
        <f>SUMIF('Form A Mapping'!H:H, 'FY 24-25 Budget Form A'!A16,'Form A Mapping'!AG:AG)</f>
        <v>0</v>
      </c>
      <c r="M16" s="578">
        <f>SUMIF('Form A Mapping'!H:H, 'FY 24-25 Budget Form A'!A16,'Form A Mapping'!AH:AH)</f>
        <v>0</v>
      </c>
      <c r="N16" s="578">
        <f>SUMIF('Form A Mapping'!H:H, 'FY 24-25 Budget Form A'!A16,'Form A Mapping'!AI:AI)</f>
        <v>0</v>
      </c>
    </row>
    <row r="17" spans="1:14" ht="16.899999999999999" customHeight="1" thickBot="1">
      <c r="A17" s="558">
        <v>5</v>
      </c>
      <c r="B17" s="576" t="s">
        <v>669</v>
      </c>
      <c r="D17" s="559"/>
      <c r="E17" s="581" t="s">
        <v>670</v>
      </c>
      <c r="F17" s="582" t="s">
        <v>671</v>
      </c>
      <c r="G17" s="578">
        <f>SUMIF('Form A Mapping'!H:H, 'FY 24-25 Budget Form A'!A17,'Form A Mapping'!AB:AB)</f>
        <v>0</v>
      </c>
      <c r="H17" s="578">
        <f>SUMIF('Form A Mapping'!H:H, 'FY 24-25 Budget Form A'!A17,'Form A Mapping'!AC:AC)</f>
        <v>0</v>
      </c>
      <c r="I17" s="578">
        <f>SUMIF('Form A Mapping'!H:H, 'FY 24-25 Budget Form A'!A17,'Form A Mapping'!AD:AD)</f>
        <v>0</v>
      </c>
      <c r="J17" s="578">
        <f>SUMIF('Form A Mapping'!H:H, 'FY 24-25 Budget Form A'!A17,'Form A Mapping'!AE:AE)</f>
        <v>0</v>
      </c>
      <c r="K17" s="578">
        <f>SUMIF('Form A Mapping'!H:H, 'FY 24-25 Budget Form A'!A17,'Form A Mapping'!AF:AF)</f>
        <v>1998415.03</v>
      </c>
      <c r="L17" s="578">
        <f>SUMIF('Form A Mapping'!H:H, 'FY 24-25 Budget Form A'!A17,'Form A Mapping'!AG:AG)</f>
        <v>1708582.583360787</v>
      </c>
      <c r="M17" s="578">
        <f>SUMIF('Form A Mapping'!H:H, 'FY 24-25 Budget Form A'!A17,'Form A Mapping'!AH:AH)</f>
        <v>760302.39</v>
      </c>
      <c r="N17" s="578">
        <f>SUMIF('Form A Mapping'!H:H, 'FY 24-25 Budget Form A'!A17,'Form A Mapping'!AI:AI)</f>
        <v>0</v>
      </c>
    </row>
    <row r="18" spans="1:14" ht="16.899999999999999" customHeight="1" thickBot="1">
      <c r="A18" s="583"/>
      <c r="B18" s="584"/>
      <c r="C18" s="585" t="s">
        <v>672</v>
      </c>
      <c r="D18" s="586"/>
      <c r="E18" s="587"/>
      <c r="F18" s="588" t="s">
        <v>673</v>
      </c>
      <c r="G18" s="589">
        <f>SUM(G13:G17)</f>
        <v>2336677.1799999997</v>
      </c>
      <c r="H18" s="589">
        <f>SUM(H13:H17)</f>
        <v>3751404.4965610709</v>
      </c>
      <c r="I18" s="589">
        <f t="shared" ref="I18:J18" si="0">SUM(I13:I17)</f>
        <v>1290417.79</v>
      </c>
      <c r="J18" s="589">
        <f t="shared" si="0"/>
        <v>0</v>
      </c>
      <c r="K18" s="589">
        <f>SUM(K13:K17)</f>
        <v>1998415.03</v>
      </c>
      <c r="L18" s="589">
        <f t="shared" ref="L18:N18" si="1">SUM(L13:L17)</f>
        <v>1713800.583360787</v>
      </c>
      <c r="M18" s="589">
        <f t="shared" si="1"/>
        <v>760302.39</v>
      </c>
      <c r="N18" s="589">
        <f t="shared" si="1"/>
        <v>0</v>
      </c>
    </row>
    <row r="19" spans="1:14" ht="25" customHeight="1">
      <c r="A19" s="558">
        <v>6</v>
      </c>
      <c r="B19" s="576" t="s">
        <v>674</v>
      </c>
      <c r="D19" s="559"/>
      <c r="E19" s="577" t="s">
        <v>675</v>
      </c>
      <c r="F19" s="527" t="s">
        <v>676</v>
      </c>
      <c r="G19" s="578">
        <f>SUMIF('Form A Mapping'!H:H, 'FY 24-25 Budget Form A'!A19,'Form A Mapping'!AB:AB)</f>
        <v>0</v>
      </c>
      <c r="H19" s="578">
        <f>SUMIF('Form A Mapping'!H:H, 'FY 24-25 Budget Form A'!A19,'Form A Mapping'!AC:AC)</f>
        <v>0</v>
      </c>
      <c r="I19" s="578">
        <f>SUMIF('Form A Mapping'!H:H, 'FY 24-25 Budget Form A'!A19,'Form A Mapping'!AD:AD)</f>
        <v>0</v>
      </c>
      <c r="J19" s="578">
        <f>SUMIF('Form A Mapping'!H:H, 'FY 24-25 Budget Form A'!A19,'Form A Mapping'!AE:AE)</f>
        <v>0</v>
      </c>
      <c r="K19" s="578">
        <f>SUMIF('Form A Mapping'!H:H, 'FY 24-25 Budget Form A'!A19,'Form A Mapping'!AF:AF)</f>
        <v>0</v>
      </c>
      <c r="L19" s="578">
        <f>SUMIF('Form A Mapping'!H:H, 'FY 24-25 Budget Form A'!A19,'Form A Mapping'!AG:AG)</f>
        <v>0</v>
      </c>
      <c r="M19" s="578">
        <f>SUMIF('Form A Mapping'!H:H, 'FY 24-25 Budget Form A'!A19,'Form A Mapping'!AH:AH)</f>
        <v>0</v>
      </c>
      <c r="N19" s="578">
        <f>SUMIF('Form A Mapping'!H:H, 'FY 24-25 Budget Form A'!A19,'Form A Mapping'!AI:AI)</f>
        <v>0</v>
      </c>
    </row>
    <row r="20" spans="1:14" ht="7" customHeight="1" thickBot="1">
      <c r="A20" s="558"/>
      <c r="B20" s="576"/>
      <c r="D20" s="559"/>
      <c r="E20" s="590"/>
      <c r="F20" s="591"/>
      <c r="G20" s="592"/>
      <c r="H20" s="593"/>
      <c r="I20" s="593"/>
      <c r="J20" s="593"/>
      <c r="K20" s="593"/>
      <c r="L20" s="593"/>
      <c r="M20" s="593"/>
      <c r="N20" s="593"/>
    </row>
    <row r="21" spans="1:14" ht="16.5" thickTop="1" thickBot="1">
      <c r="A21" s="594"/>
      <c r="B21" s="595" t="s">
        <v>677</v>
      </c>
      <c r="C21" s="596"/>
      <c r="D21" s="597"/>
      <c r="E21" s="598"/>
      <c r="F21" s="599" t="s">
        <v>678</v>
      </c>
      <c r="G21" s="600">
        <f>G18+G19</f>
        <v>2336677.1799999997</v>
      </c>
      <c r="H21" s="600">
        <f>H18+H19</f>
        <v>3751404.4965610709</v>
      </c>
      <c r="I21" s="600">
        <f t="shared" ref="I21:J21" si="2">I18+I19</f>
        <v>1290417.79</v>
      </c>
      <c r="J21" s="600">
        <f t="shared" si="2"/>
        <v>0</v>
      </c>
      <c r="K21" s="600">
        <f>K18+K19</f>
        <v>1998415.03</v>
      </c>
      <c r="L21" s="600">
        <f t="shared" ref="L21:N21" si="3">L18+L19</f>
        <v>1713800.583360787</v>
      </c>
      <c r="M21" s="600">
        <f t="shared" si="3"/>
        <v>760302.39</v>
      </c>
      <c r="N21" s="600">
        <f t="shared" si="3"/>
        <v>0</v>
      </c>
    </row>
    <row r="22" spans="1:14" ht="22" customHeight="1" thickTop="1">
      <c r="A22" s="573" t="s">
        <v>92</v>
      </c>
      <c r="B22" s="546"/>
      <c r="C22" s="546"/>
      <c r="D22" s="561"/>
      <c r="E22" s="574"/>
      <c r="F22" s="559"/>
      <c r="G22" s="601"/>
      <c r="H22" s="601"/>
      <c r="I22" s="601"/>
      <c r="J22" s="601"/>
      <c r="K22" s="601"/>
      <c r="L22" s="601"/>
      <c r="M22" s="601"/>
      <c r="N22" s="601"/>
    </row>
    <row r="23" spans="1:14" ht="20.149999999999999" customHeight="1">
      <c r="A23" s="558"/>
      <c r="B23" s="602" t="s">
        <v>679</v>
      </c>
      <c r="C23" s="576"/>
      <c r="D23" s="603"/>
      <c r="E23" s="574"/>
      <c r="F23" s="559"/>
      <c r="G23" s="604"/>
      <c r="H23" s="601"/>
      <c r="I23" s="601"/>
      <c r="J23" s="601"/>
      <c r="K23" s="601"/>
      <c r="L23" s="601"/>
      <c r="M23" s="601"/>
      <c r="N23" s="601"/>
    </row>
    <row r="24" spans="1:14" ht="16.899999999999999" customHeight="1">
      <c r="A24" s="558">
        <v>7</v>
      </c>
      <c r="B24" s="576"/>
      <c r="C24" s="576" t="s">
        <v>680</v>
      </c>
      <c r="D24" s="603"/>
      <c r="E24" s="577" t="s">
        <v>598</v>
      </c>
      <c r="F24" s="580" t="s">
        <v>620</v>
      </c>
      <c r="G24" s="578">
        <f>SUMIF('Form A Mapping'!H:H, 'FY 24-25 Budget Form A'!A24,'Form A Mapping'!AB:AB)</f>
        <v>698948.7100000002</v>
      </c>
      <c r="H24" s="578">
        <f>SUMIF('Form A Mapping'!H:H, 'FY 24-25 Budget Form A'!A24,'Form A Mapping'!AC:AC)</f>
        <v>1016901.2717750241</v>
      </c>
      <c r="I24" s="578">
        <f>SUMIF('Form A Mapping'!H:H, 'FY 24-25 Budget Form A'!A24,'Form A Mapping'!AD:AD)</f>
        <v>535124.29</v>
      </c>
      <c r="J24" s="578">
        <f>SUMIF('Form A Mapping'!H:H, 'FY 24-25 Budget Form A'!A24,'Form A Mapping'!AE:AE)</f>
        <v>0</v>
      </c>
      <c r="K24" s="578">
        <f>SUMIF('Form A Mapping'!H:H, 'FY 24-25 Budget Form A'!A24,'Form A Mapping'!AF:AF)</f>
        <v>700082</v>
      </c>
      <c r="L24" s="578">
        <f>SUMIF('Form A Mapping'!H:H, 'FY 24-25 Budget Form A'!A24,'Form A Mapping'!AG:AG)</f>
        <v>754717.42354209523</v>
      </c>
      <c r="M24" s="578">
        <f>SUMIF('Form A Mapping'!H:H, 'FY 24-25 Budget Form A'!A24,'Form A Mapping'!AH:AH)</f>
        <v>250195.46999999994</v>
      </c>
      <c r="N24" s="578">
        <f>SUMIF('Form A Mapping'!H:H, 'FY 24-25 Budget Form A'!A24,'Form A Mapping'!AI:AI)</f>
        <v>0</v>
      </c>
    </row>
    <row r="25" spans="1:14" ht="16.899999999999999" customHeight="1">
      <c r="A25" s="558">
        <v>8</v>
      </c>
      <c r="B25" s="576"/>
      <c r="C25" s="576" t="s">
        <v>681</v>
      </c>
      <c r="D25" s="603"/>
      <c r="E25" s="577" t="s">
        <v>682</v>
      </c>
      <c r="F25" s="580" t="s">
        <v>622</v>
      </c>
      <c r="G25" s="578">
        <f>SUMIF('Form A Mapping'!H:H, 'FY 24-25 Budget Form A'!A25,'Form A Mapping'!AB:AB)</f>
        <v>148471.91</v>
      </c>
      <c r="H25" s="578">
        <f>SUMIF('Form A Mapping'!H:H, 'FY 24-25 Budget Form A'!A25,'Form A Mapping'!AC:AC)</f>
        <v>56805.807807573401</v>
      </c>
      <c r="I25" s="578">
        <f>SUMIF('Form A Mapping'!H:H, 'FY 24-25 Budget Form A'!A25,'Form A Mapping'!AD:AD)</f>
        <v>85121.390000000014</v>
      </c>
      <c r="J25" s="578">
        <f>SUMIF('Form A Mapping'!H:H, 'FY 24-25 Budget Form A'!A25,'Form A Mapping'!AE:AE)</f>
        <v>0</v>
      </c>
      <c r="K25" s="578">
        <f>SUMIF('Form A Mapping'!H:H, 'FY 24-25 Budget Form A'!A25,'Form A Mapping'!AF:AF)</f>
        <v>88811</v>
      </c>
      <c r="L25" s="578">
        <f>SUMIF('Form A Mapping'!H:H, 'FY 24-25 Budget Form A'!A25,'Form A Mapping'!AG:AG)</f>
        <v>139376.53534496343</v>
      </c>
      <c r="M25" s="578">
        <f>SUMIF('Form A Mapping'!H:H, 'FY 24-25 Budget Form A'!A25,'Form A Mapping'!AH:AH)</f>
        <v>38202.649999999994</v>
      </c>
      <c r="N25" s="578">
        <f>SUMIF('Form A Mapping'!H:H, 'FY 24-25 Budget Form A'!A25,'Form A Mapping'!AI:AI)</f>
        <v>0</v>
      </c>
    </row>
    <row r="26" spans="1:14" ht="16.899999999999999" customHeight="1">
      <c r="A26" s="558">
        <v>9</v>
      </c>
      <c r="B26" s="576"/>
      <c r="C26" s="576" t="s">
        <v>683</v>
      </c>
      <c r="D26" s="603"/>
      <c r="E26" s="577" t="s">
        <v>684</v>
      </c>
      <c r="F26" s="580" t="s">
        <v>623</v>
      </c>
      <c r="G26" s="578">
        <f>SUMIF('Form A Mapping'!H:H, 'FY 24-25 Budget Form A'!A26,'Form A Mapping'!AB:AB)</f>
        <v>0</v>
      </c>
      <c r="H26" s="578">
        <f>SUMIF('Form A Mapping'!H:H, 'FY 24-25 Budget Form A'!A26,'Form A Mapping'!AC:AC)</f>
        <v>0</v>
      </c>
      <c r="I26" s="578">
        <f>SUMIF('Form A Mapping'!H:H, 'FY 24-25 Budget Form A'!A26,'Form A Mapping'!AD:AD)</f>
        <v>0</v>
      </c>
      <c r="J26" s="578">
        <f>SUMIF('Form A Mapping'!H:H, 'FY 24-25 Budget Form A'!A26,'Form A Mapping'!AE:AE)</f>
        <v>0</v>
      </c>
      <c r="K26" s="578">
        <f>SUMIF('Form A Mapping'!H:H, 'FY 24-25 Budget Form A'!A26,'Form A Mapping'!AF:AF)</f>
        <v>0</v>
      </c>
      <c r="L26" s="578">
        <f>SUMIF('Form A Mapping'!H:H, 'FY 24-25 Budget Form A'!A26,'Form A Mapping'!AG:AG)</f>
        <v>0</v>
      </c>
      <c r="M26" s="578">
        <f>SUMIF('Form A Mapping'!H:H, 'FY 24-25 Budget Form A'!A26,'Form A Mapping'!AH:AH)</f>
        <v>0</v>
      </c>
      <c r="N26" s="578">
        <f>SUMIF('Form A Mapping'!H:H, 'FY 24-25 Budget Form A'!A26,'Form A Mapping'!AI:AI)</f>
        <v>0</v>
      </c>
    </row>
    <row r="27" spans="1:14" ht="16.899999999999999" customHeight="1">
      <c r="A27" s="558">
        <v>10</v>
      </c>
      <c r="B27" s="576"/>
      <c r="C27" s="576" t="s">
        <v>685</v>
      </c>
      <c r="D27" s="603"/>
      <c r="E27" s="577" t="s">
        <v>686</v>
      </c>
      <c r="F27" s="580" t="s">
        <v>624</v>
      </c>
      <c r="G27" s="578">
        <f>SUMIF('Form A Mapping'!H:H, 'FY 24-25 Budget Form A'!A27,'Form A Mapping'!AB:AB)</f>
        <v>0</v>
      </c>
      <c r="H27" s="578">
        <f>SUMIF('Form A Mapping'!H:H, 'FY 24-25 Budget Form A'!A27,'Form A Mapping'!AC:AC)</f>
        <v>5000</v>
      </c>
      <c r="I27" s="578">
        <f>SUMIF('Form A Mapping'!H:H, 'FY 24-25 Budget Form A'!A27,'Form A Mapping'!AD:AD)</f>
        <v>0</v>
      </c>
      <c r="J27" s="578">
        <f>SUMIF('Form A Mapping'!H:H, 'FY 24-25 Budget Form A'!A27,'Form A Mapping'!AE:AE)</f>
        <v>0</v>
      </c>
      <c r="K27" s="578">
        <f>SUMIF('Form A Mapping'!H:H, 'FY 24-25 Budget Form A'!A27,'Form A Mapping'!AF:AF)</f>
        <v>0</v>
      </c>
      <c r="L27" s="578">
        <f>SUMIF('Form A Mapping'!H:H, 'FY 24-25 Budget Form A'!A27,'Form A Mapping'!AG:AG)</f>
        <v>0</v>
      </c>
      <c r="M27" s="578">
        <f>SUMIF('Form A Mapping'!H:H, 'FY 24-25 Budget Form A'!A27,'Form A Mapping'!AH:AH)</f>
        <v>0</v>
      </c>
      <c r="N27" s="578">
        <f>SUMIF('Form A Mapping'!H:H, 'FY 24-25 Budget Form A'!A27,'Form A Mapping'!AI:AI)</f>
        <v>0</v>
      </c>
    </row>
    <row r="28" spans="1:14" ht="16.899999999999999" customHeight="1">
      <c r="A28" s="558">
        <v>11</v>
      </c>
      <c r="B28" s="576"/>
      <c r="C28" s="576" t="s">
        <v>687</v>
      </c>
      <c r="D28" s="603"/>
      <c r="E28" s="577" t="s">
        <v>688</v>
      </c>
      <c r="F28" s="580" t="s">
        <v>625</v>
      </c>
      <c r="G28" s="578">
        <f>SUMIF('Form A Mapping'!H:H, 'FY 24-25 Budget Form A'!A28,'Form A Mapping'!AB:AB)</f>
        <v>97866.67</v>
      </c>
      <c r="H28" s="578">
        <f>SUMIF('Form A Mapping'!H:H, 'FY 24-25 Budget Form A'!A28,'Form A Mapping'!AC:AC)</f>
        <v>94216.110048148519</v>
      </c>
      <c r="I28" s="578">
        <f>SUMIF('Form A Mapping'!H:H, 'FY 24-25 Budget Form A'!A28,'Form A Mapping'!AD:AD)</f>
        <v>24834.65</v>
      </c>
      <c r="J28" s="578">
        <f>SUMIF('Form A Mapping'!H:H, 'FY 24-25 Budget Form A'!A28,'Form A Mapping'!AE:AE)</f>
        <v>0</v>
      </c>
      <c r="K28" s="578">
        <f>SUMIF('Form A Mapping'!H:H, 'FY 24-25 Budget Form A'!A28,'Form A Mapping'!AF:AF)</f>
        <v>1251</v>
      </c>
      <c r="L28" s="578">
        <f>SUMIF('Form A Mapping'!H:H, 'FY 24-25 Budget Form A'!A28,'Form A Mapping'!AG:AG)</f>
        <v>102296.77037148364</v>
      </c>
      <c r="M28" s="578">
        <f>SUMIF('Form A Mapping'!H:H, 'FY 24-25 Budget Form A'!A28,'Form A Mapping'!AH:AH)</f>
        <v>800</v>
      </c>
      <c r="N28" s="578">
        <f>SUMIF('Form A Mapping'!H:H, 'FY 24-25 Budget Form A'!A28,'Form A Mapping'!AI:AI)</f>
        <v>0</v>
      </c>
    </row>
    <row r="29" spans="1:14" ht="16.899999999999999" customHeight="1" thickBot="1">
      <c r="A29" s="558">
        <v>12</v>
      </c>
      <c r="B29" s="576"/>
      <c r="C29" s="576" t="s">
        <v>689</v>
      </c>
      <c r="D29" s="603"/>
      <c r="E29" s="577" t="s">
        <v>690</v>
      </c>
      <c r="F29" s="580" t="s">
        <v>626</v>
      </c>
      <c r="G29" s="578">
        <f>SUMIF('Form A Mapping'!H:H, 'FY 24-25 Budget Form A'!A29,'Form A Mapping'!AB:AB)</f>
        <v>0</v>
      </c>
      <c r="H29" s="578">
        <f>SUMIF('Form A Mapping'!H:H, 'FY 24-25 Budget Form A'!A29,'Form A Mapping'!AC:AC)</f>
        <v>0</v>
      </c>
      <c r="I29" s="578">
        <f>SUMIF('Form A Mapping'!H:H, 'FY 24-25 Budget Form A'!A29,'Form A Mapping'!AD:AD)</f>
        <v>0</v>
      </c>
      <c r="J29" s="578">
        <f>SUMIF('Form A Mapping'!H:H, 'FY 24-25 Budget Form A'!A29,'Form A Mapping'!AE:AE)</f>
        <v>0</v>
      </c>
      <c r="K29" s="578">
        <f>SUMIF('Form A Mapping'!H:H, 'FY 24-25 Budget Form A'!A29,'Form A Mapping'!AF:AF)</f>
        <v>0</v>
      </c>
      <c r="L29" s="578">
        <f>SUMIF('Form A Mapping'!H:H, 'FY 24-25 Budget Form A'!A29,'Form A Mapping'!AG:AG)</f>
        <v>0</v>
      </c>
      <c r="M29" s="578">
        <f>SUMIF('Form A Mapping'!H:H, 'FY 24-25 Budget Form A'!A29,'Form A Mapping'!AH:AH)</f>
        <v>0</v>
      </c>
      <c r="N29" s="578">
        <f>SUMIF('Form A Mapping'!H:H, 'FY 24-25 Budget Form A'!A29,'Form A Mapping'!AI:AI)</f>
        <v>0</v>
      </c>
    </row>
    <row r="30" spans="1:14" ht="16.899999999999999" customHeight="1" thickBot="1">
      <c r="A30" s="583"/>
      <c r="B30" s="585"/>
      <c r="C30" s="585"/>
      <c r="D30" s="605" t="s">
        <v>691</v>
      </c>
      <c r="E30" s="587"/>
      <c r="F30" s="588" t="s">
        <v>692</v>
      </c>
      <c r="G30" s="589">
        <f>SUM(G24:G29)</f>
        <v>945287.29000000027</v>
      </c>
      <c r="H30" s="589">
        <f>SUM(H24:H29)</f>
        <v>1172923.1896307461</v>
      </c>
      <c r="I30" s="589">
        <f t="shared" ref="I30:N30" si="4">SUM(I24:I29)</f>
        <v>645080.33000000007</v>
      </c>
      <c r="J30" s="589">
        <f t="shared" si="4"/>
        <v>0</v>
      </c>
      <c r="K30" s="589">
        <f t="shared" si="4"/>
        <v>790144</v>
      </c>
      <c r="L30" s="589">
        <f t="shared" si="4"/>
        <v>996390.7292585423</v>
      </c>
      <c r="M30" s="589">
        <f t="shared" si="4"/>
        <v>289198.11999999994</v>
      </c>
      <c r="N30" s="589">
        <f t="shared" si="4"/>
        <v>0</v>
      </c>
    </row>
    <row r="31" spans="1:14" ht="20.149999999999999" customHeight="1">
      <c r="A31" s="558"/>
      <c r="B31" s="602" t="s">
        <v>693</v>
      </c>
      <c r="D31" s="559"/>
      <c r="E31" s="574"/>
      <c r="F31" s="559"/>
      <c r="G31" s="601"/>
      <c r="H31" s="601"/>
      <c r="I31" s="601"/>
      <c r="J31" s="601"/>
      <c r="K31" s="601"/>
      <c r="L31" s="601"/>
      <c r="M31" s="601"/>
      <c r="N31" s="601"/>
    </row>
    <row r="32" spans="1:14" ht="16.899999999999999" customHeight="1">
      <c r="A32" s="558">
        <v>13</v>
      </c>
      <c r="C32" s="576" t="s">
        <v>694</v>
      </c>
      <c r="D32" s="603"/>
      <c r="E32" s="577" t="s">
        <v>695</v>
      </c>
      <c r="F32" s="580" t="s">
        <v>627</v>
      </c>
      <c r="G32" s="578">
        <f>SUMIF('Form A Mapping'!H:H, 'FY 24-25 Budget Form A'!A32,'Form A Mapping'!AB:AB)</f>
        <v>91767.159999999989</v>
      </c>
      <c r="H32" s="578">
        <f>SUMIF('Form A Mapping'!H:H, 'FY 24-25 Budget Form A'!A32,'Form A Mapping'!AC:AC)</f>
        <v>92250</v>
      </c>
      <c r="I32" s="578">
        <f>SUMIF('Form A Mapping'!H:H, 'FY 24-25 Budget Form A'!A32,'Form A Mapping'!AD:AD)</f>
        <v>91872.55</v>
      </c>
      <c r="J32" s="578">
        <f>SUMIF('Form A Mapping'!H:H, 'FY 24-25 Budget Form A'!A32,'Form A Mapping'!AE:AE)</f>
        <v>0</v>
      </c>
      <c r="K32" s="578">
        <f>SUMIF('Form A Mapping'!H:H, 'FY 24-25 Budget Form A'!A32,'Form A Mapping'!AF:AF)</f>
        <v>63984</v>
      </c>
      <c r="L32" s="578">
        <f>SUMIF('Form A Mapping'!H:H, 'FY 24-25 Budget Form A'!A32,'Form A Mapping'!AG:AG)</f>
        <v>55336</v>
      </c>
      <c r="M32" s="578">
        <f>SUMIF('Form A Mapping'!H:H, 'FY 24-25 Budget Form A'!A32,'Form A Mapping'!AH:AH)</f>
        <v>800</v>
      </c>
      <c r="N32" s="578">
        <f>SUMIF('Form A Mapping'!H:H, 'FY 24-25 Budget Form A'!A32,'Form A Mapping'!AI:AI)</f>
        <v>0</v>
      </c>
    </row>
    <row r="33" spans="1:14" ht="16.899999999999999" customHeight="1">
      <c r="A33" s="558">
        <v>14</v>
      </c>
      <c r="C33" s="576" t="s">
        <v>696</v>
      </c>
      <c r="D33" s="603"/>
      <c r="E33" s="577" t="s">
        <v>697</v>
      </c>
      <c r="F33" s="580" t="s">
        <v>628</v>
      </c>
      <c r="G33" s="578">
        <f>SUMIF('Form A Mapping'!H:H, 'FY 24-25 Budget Form A'!A33,'Form A Mapping'!AB:AB)</f>
        <v>287837.62</v>
      </c>
      <c r="H33" s="578">
        <f>SUMIF('Form A Mapping'!H:H, 'FY 24-25 Budget Form A'!A33,'Form A Mapping'!AC:AC)</f>
        <v>194635.78181941083</v>
      </c>
      <c r="I33" s="578">
        <f>SUMIF('Form A Mapping'!H:H, 'FY 24-25 Budget Form A'!A33,'Form A Mapping'!AD:AD)</f>
        <v>127777.42</v>
      </c>
      <c r="J33" s="578">
        <f>SUMIF('Form A Mapping'!H:H, 'FY 24-25 Budget Form A'!A33,'Form A Mapping'!AE:AE)</f>
        <v>0</v>
      </c>
      <c r="K33" s="578">
        <f>SUMIF('Form A Mapping'!H:H, 'FY 24-25 Budget Form A'!A33,'Form A Mapping'!AF:AF)</f>
        <v>131936</v>
      </c>
      <c r="L33" s="578">
        <f>SUMIF('Form A Mapping'!H:H, 'FY 24-25 Budget Form A'!A33,'Form A Mapping'!AG:AG)</f>
        <v>148956.11751495631</v>
      </c>
      <c r="M33" s="578">
        <f>SUMIF('Form A Mapping'!H:H, 'FY 24-25 Budget Form A'!A33,'Form A Mapping'!AH:AH)</f>
        <v>19372.099999999999</v>
      </c>
      <c r="N33" s="578">
        <f>SUMIF('Form A Mapping'!H:H, 'FY 24-25 Budget Form A'!A33,'Form A Mapping'!AI:AI)</f>
        <v>0</v>
      </c>
    </row>
    <row r="34" spans="1:14" ht="16.899999999999999" customHeight="1">
      <c r="A34" s="558">
        <v>15</v>
      </c>
      <c r="C34" s="576" t="s">
        <v>698</v>
      </c>
      <c r="D34" s="603"/>
      <c r="E34" s="577" t="s">
        <v>699</v>
      </c>
      <c r="F34" s="580" t="s">
        <v>629</v>
      </c>
      <c r="G34" s="578">
        <f>SUMIF('Form A Mapping'!H:H, 'FY 24-25 Budget Form A'!A34,'Form A Mapping'!AB:AB)</f>
        <v>93945.72</v>
      </c>
      <c r="H34" s="578">
        <f>SUMIF('Form A Mapping'!H:H, 'FY 24-25 Budget Form A'!A34,'Form A Mapping'!AC:AC)</f>
        <v>111177</v>
      </c>
      <c r="I34" s="578">
        <f>SUMIF('Form A Mapping'!H:H, 'FY 24-25 Budget Form A'!A34,'Form A Mapping'!AD:AD)</f>
        <v>27169.41</v>
      </c>
      <c r="J34" s="578">
        <f>SUMIF('Form A Mapping'!H:H, 'FY 24-25 Budget Form A'!A34,'Form A Mapping'!AE:AE)</f>
        <v>0</v>
      </c>
      <c r="K34" s="578">
        <f>SUMIF('Form A Mapping'!H:H, 'FY 24-25 Budget Form A'!A34,'Form A Mapping'!AF:AF)</f>
        <v>0</v>
      </c>
      <c r="L34" s="578">
        <f>SUMIF('Form A Mapping'!H:H, 'FY 24-25 Budget Form A'!A34,'Form A Mapping'!AG:AG)</f>
        <v>0</v>
      </c>
      <c r="M34" s="578">
        <f>SUMIF('Form A Mapping'!H:H, 'FY 24-25 Budget Form A'!A34,'Form A Mapping'!AH:AH)</f>
        <v>0</v>
      </c>
      <c r="N34" s="578">
        <f>SUMIF('Form A Mapping'!H:H, 'FY 24-25 Budget Form A'!A34,'Form A Mapping'!AI:AI)</f>
        <v>0</v>
      </c>
    </row>
    <row r="35" spans="1:14" ht="16.899999999999999" customHeight="1">
      <c r="A35" s="558">
        <v>16</v>
      </c>
      <c r="C35" s="576" t="s">
        <v>700</v>
      </c>
      <c r="D35" s="603"/>
      <c r="E35" s="577" t="s">
        <v>597</v>
      </c>
      <c r="F35" s="580" t="s">
        <v>630</v>
      </c>
      <c r="G35" s="578">
        <f>SUMIF('Form A Mapping'!H:H, 'FY 24-25 Budget Form A'!A35,'Form A Mapping'!AB:AB)</f>
        <v>359930.05</v>
      </c>
      <c r="H35" s="578">
        <f>SUMIF('Form A Mapping'!H:H, 'FY 24-25 Budget Form A'!A35,'Form A Mapping'!AC:AC)</f>
        <v>730598.28949277173</v>
      </c>
      <c r="I35" s="578">
        <f>SUMIF('Form A Mapping'!H:H, 'FY 24-25 Budget Form A'!A35,'Form A Mapping'!AD:AD)</f>
        <v>332901.61</v>
      </c>
      <c r="J35" s="578">
        <f>SUMIF('Form A Mapping'!H:H, 'FY 24-25 Budget Form A'!A35,'Form A Mapping'!AE:AE)</f>
        <v>0</v>
      </c>
      <c r="K35" s="578">
        <f>SUMIF('Form A Mapping'!H:H, 'FY 24-25 Budget Form A'!A35,'Form A Mapping'!AF:AF)</f>
        <v>197651.18</v>
      </c>
      <c r="L35" s="578">
        <f>SUMIF('Form A Mapping'!H:H, 'FY 24-25 Budget Form A'!A35,'Form A Mapping'!AG:AG)</f>
        <v>360144.76804075961</v>
      </c>
      <c r="M35" s="578">
        <f>SUMIF('Form A Mapping'!H:H, 'FY 24-25 Budget Form A'!A35,'Form A Mapping'!AH:AH)</f>
        <v>12758.91</v>
      </c>
      <c r="N35" s="578">
        <f>SUMIF('Form A Mapping'!H:H, 'FY 24-25 Budget Form A'!A35,'Form A Mapping'!AI:AI)</f>
        <v>0</v>
      </c>
    </row>
    <row r="36" spans="1:14" ht="16.899999999999999" customHeight="1">
      <c r="A36" s="558">
        <v>17</v>
      </c>
      <c r="C36" s="576" t="s">
        <v>701</v>
      </c>
      <c r="D36" s="603"/>
      <c r="E36" s="577" t="s">
        <v>702</v>
      </c>
      <c r="F36" s="580" t="s">
        <v>631</v>
      </c>
      <c r="G36" s="578">
        <f>SUMIF('Form A Mapping'!H:H, 'FY 24-25 Budget Form A'!A36,'Form A Mapping'!AB:AB)</f>
        <v>11932.22</v>
      </c>
      <c r="H36" s="578">
        <f>SUMIF('Form A Mapping'!H:H, 'FY 24-25 Budget Form A'!A36,'Form A Mapping'!AC:AC)</f>
        <v>143608.05502407425</v>
      </c>
      <c r="I36" s="578">
        <f>SUMIF('Form A Mapping'!H:H, 'FY 24-25 Budget Form A'!A36,'Form A Mapping'!AD:AD)</f>
        <v>52404.1</v>
      </c>
      <c r="J36" s="578">
        <f>SUMIF('Form A Mapping'!H:H, 'FY 24-25 Budget Form A'!A36,'Form A Mapping'!AE:AE)</f>
        <v>0</v>
      </c>
      <c r="K36" s="578">
        <f>SUMIF('Form A Mapping'!H:H, 'FY 24-25 Budget Form A'!A36,'Form A Mapping'!AF:AF)</f>
        <v>73368.75</v>
      </c>
      <c r="L36" s="578">
        <f>SUMIF('Form A Mapping'!H:H, 'FY 24-25 Budget Form A'!A36,'Form A Mapping'!AG:AG)</f>
        <v>2973.3851857418176</v>
      </c>
      <c r="M36" s="578">
        <f>SUMIF('Form A Mapping'!H:H, 'FY 24-25 Budget Form A'!A36,'Form A Mapping'!AH:AH)</f>
        <v>0</v>
      </c>
      <c r="N36" s="578">
        <f>SUMIF('Form A Mapping'!H:H, 'FY 24-25 Budget Form A'!A36,'Form A Mapping'!AI:AI)</f>
        <v>0</v>
      </c>
    </row>
    <row r="37" spans="1:14" ht="16.899999999999999" customHeight="1">
      <c r="A37" s="558">
        <v>18</v>
      </c>
      <c r="C37" s="576" t="s">
        <v>703</v>
      </c>
      <c r="D37" s="603"/>
      <c r="E37" s="577" t="s">
        <v>704</v>
      </c>
      <c r="F37" s="580" t="s">
        <v>632</v>
      </c>
      <c r="G37" s="578">
        <f>SUMIF('Form A Mapping'!H:H, 'FY 24-25 Budget Form A'!A37,'Form A Mapping'!AB:AB)</f>
        <v>243923.02</v>
      </c>
      <c r="H37" s="578">
        <f>SUMIF('Form A Mapping'!H:H, 'FY 24-25 Budget Form A'!A37,'Form A Mapping'!AC:AC)</f>
        <v>337750</v>
      </c>
      <c r="I37" s="578">
        <f>SUMIF('Form A Mapping'!H:H, 'FY 24-25 Budget Form A'!A37,'Form A Mapping'!AD:AD)</f>
        <v>198276.36000000002</v>
      </c>
      <c r="J37" s="578">
        <f>SUMIF('Form A Mapping'!H:H, 'FY 24-25 Budget Form A'!A37,'Form A Mapping'!AE:AE)</f>
        <v>0</v>
      </c>
      <c r="K37" s="578">
        <f>SUMIF('Form A Mapping'!H:H, 'FY 24-25 Budget Form A'!A37,'Form A Mapping'!AF:AF)</f>
        <v>92526.11</v>
      </c>
      <c r="L37" s="578">
        <f>SUMIF('Form A Mapping'!H:H, 'FY 24-25 Budget Form A'!A37,'Form A Mapping'!AG:AG)</f>
        <v>0</v>
      </c>
      <c r="M37" s="578">
        <f>SUMIF('Form A Mapping'!H:H, 'FY 24-25 Budget Form A'!A37,'Form A Mapping'!AH:AH)</f>
        <v>0</v>
      </c>
      <c r="N37" s="578">
        <f>SUMIF('Form A Mapping'!H:H, 'FY 24-25 Budget Form A'!A37,'Form A Mapping'!AI:AI)</f>
        <v>0</v>
      </c>
    </row>
    <row r="38" spans="1:14" ht="16.899999999999999" customHeight="1">
      <c r="A38" s="558">
        <v>19</v>
      </c>
      <c r="C38" s="576" t="s">
        <v>705</v>
      </c>
      <c r="D38" s="603"/>
      <c r="E38" s="577" t="s">
        <v>706</v>
      </c>
      <c r="F38" s="580" t="s">
        <v>633</v>
      </c>
      <c r="G38" s="578">
        <f>SUMIF('Form A Mapping'!H:H, 'FY 24-25 Budget Form A'!A38,'Form A Mapping'!AB:AB)</f>
        <v>73078.770000000019</v>
      </c>
      <c r="H38" s="578">
        <f>SUMIF('Form A Mapping'!H:H, 'FY 24-25 Budget Form A'!A38,'Form A Mapping'!AC:AC)</f>
        <v>301360</v>
      </c>
      <c r="I38" s="578">
        <f>SUMIF('Form A Mapping'!H:H, 'FY 24-25 Budget Form A'!A38,'Form A Mapping'!AD:AD)</f>
        <v>82095.86</v>
      </c>
      <c r="J38" s="578">
        <f>SUMIF('Form A Mapping'!H:H, 'FY 24-25 Budget Form A'!A38,'Form A Mapping'!AE:AE)</f>
        <v>0</v>
      </c>
      <c r="K38" s="578">
        <f>SUMIF('Form A Mapping'!H:H, 'FY 24-25 Budget Form A'!A38,'Form A Mapping'!AF:AF)</f>
        <v>199776.82</v>
      </c>
      <c r="L38" s="578">
        <f>SUMIF('Form A Mapping'!H:H, 'FY 24-25 Budget Form A'!A38,'Form A Mapping'!AG:AG)</f>
        <v>50000</v>
      </c>
      <c r="M38" s="578">
        <f>SUMIF('Form A Mapping'!H:H, 'FY 24-25 Budget Form A'!A38,'Form A Mapping'!AH:AH)</f>
        <v>0</v>
      </c>
      <c r="N38" s="578">
        <f>SUMIF('Form A Mapping'!H:H, 'FY 24-25 Budget Form A'!A38,'Form A Mapping'!AI:AI)</f>
        <v>0</v>
      </c>
    </row>
    <row r="39" spans="1:14" ht="16.899999999999999" customHeight="1" thickBot="1">
      <c r="A39" s="558">
        <v>20</v>
      </c>
      <c r="C39" s="576" t="s">
        <v>707</v>
      </c>
      <c r="D39" s="603"/>
      <c r="E39" s="581" t="s">
        <v>708</v>
      </c>
      <c r="F39" s="606" t="s">
        <v>634</v>
      </c>
      <c r="G39" s="578">
        <f>SUMIF('Form A Mapping'!H:H, 'FY 24-25 Budget Form A'!A39,'Form A Mapping'!AB:AB)</f>
        <v>60286.649999999994</v>
      </c>
      <c r="H39" s="578">
        <f>SUMIF('Form A Mapping'!H:H, 'FY 24-25 Budget Form A'!A39,'Form A Mapping'!AC:AC)</f>
        <v>74750</v>
      </c>
      <c r="I39" s="578">
        <f>SUMIF('Form A Mapping'!H:H, 'FY 24-25 Budget Form A'!A39,'Form A Mapping'!AD:AD)</f>
        <v>122961.42000000001</v>
      </c>
      <c r="J39" s="578">
        <f>SUMIF('Form A Mapping'!H:H, 'FY 24-25 Budget Form A'!A39,'Form A Mapping'!AE:AE)</f>
        <v>0</v>
      </c>
      <c r="K39" s="578">
        <f>SUMIF('Form A Mapping'!H:H, 'FY 24-25 Budget Form A'!A39,'Form A Mapping'!AF:AF)</f>
        <v>136417.43</v>
      </c>
      <c r="L39" s="578">
        <f>SUMIF('Form A Mapping'!H:H, 'FY 24-25 Budget Form A'!A39,'Form A Mapping'!AG:AG)</f>
        <v>100000</v>
      </c>
      <c r="M39" s="578">
        <f>SUMIF('Form A Mapping'!H:H, 'FY 24-25 Budget Form A'!A39,'Form A Mapping'!AH:AH)</f>
        <v>0</v>
      </c>
      <c r="N39" s="578">
        <f>SUMIF('Form A Mapping'!H:H, 'FY 24-25 Budget Form A'!A39,'Form A Mapping'!AI:AI)</f>
        <v>0</v>
      </c>
    </row>
    <row r="40" spans="1:14" ht="16.899999999999999" customHeight="1" thickBot="1">
      <c r="A40" s="583"/>
      <c r="B40" s="584"/>
      <c r="C40" s="585"/>
      <c r="D40" s="605" t="s">
        <v>709</v>
      </c>
      <c r="E40" s="587"/>
      <c r="F40" s="588" t="s">
        <v>710</v>
      </c>
      <c r="G40" s="589">
        <f>SUM(G32:G39)</f>
        <v>1222701.21</v>
      </c>
      <c r="H40" s="589">
        <f>SUM(H32:H39)</f>
        <v>1986129.1263362567</v>
      </c>
      <c r="I40" s="589">
        <f t="shared" ref="I40:N40" si="5">SUM(I32:I39)</f>
        <v>1035458.73</v>
      </c>
      <c r="J40" s="589">
        <f t="shared" si="5"/>
        <v>0</v>
      </c>
      <c r="K40" s="589">
        <f t="shared" si="5"/>
        <v>895660.29</v>
      </c>
      <c r="L40" s="589">
        <f t="shared" si="5"/>
        <v>717410.2707414577</v>
      </c>
      <c r="M40" s="589">
        <f t="shared" si="5"/>
        <v>32931.009999999995</v>
      </c>
      <c r="N40" s="589">
        <f t="shared" si="5"/>
        <v>0</v>
      </c>
    </row>
    <row r="41" spans="1:14" ht="25" customHeight="1">
      <c r="A41" s="558"/>
      <c r="B41" s="602" t="s">
        <v>711</v>
      </c>
      <c r="C41" s="576"/>
      <c r="D41" s="603"/>
      <c r="E41" s="574"/>
      <c r="F41" s="559"/>
      <c r="G41" s="601"/>
      <c r="H41" s="601"/>
      <c r="I41" s="601"/>
      <c r="J41" s="601"/>
      <c r="K41" s="601"/>
      <c r="L41" s="601"/>
      <c r="M41" s="601"/>
      <c r="N41" s="601"/>
    </row>
    <row r="42" spans="1:14" ht="16.899999999999999" customHeight="1">
      <c r="A42" s="558">
        <v>21</v>
      </c>
      <c r="B42" s="576"/>
      <c r="C42" s="576" t="s">
        <v>712</v>
      </c>
      <c r="D42" s="603"/>
      <c r="E42" s="577" t="s">
        <v>599</v>
      </c>
      <c r="F42" s="580" t="s">
        <v>635</v>
      </c>
      <c r="G42" s="578">
        <f>SUMIF('Form A Mapping'!H:H, 'FY 24-25 Budget Form A'!A42,'Form A Mapping'!AB:AB)</f>
        <v>0</v>
      </c>
      <c r="H42" s="578">
        <f>SUMIF('Form A Mapping'!H:H, 'FY 24-25 Budget Form A'!A42,'Form A Mapping'!AC:AC)</f>
        <v>267500</v>
      </c>
      <c r="I42" s="578">
        <f>SUMIF('Form A Mapping'!H:H, 'FY 24-25 Budget Form A'!A42,'Form A Mapping'!AD:AD)</f>
        <v>1136.04</v>
      </c>
      <c r="J42" s="578">
        <f>SUMIF('Form A Mapping'!H:H, 'FY 24-25 Budget Form A'!A42,'Form A Mapping'!AE:AE)</f>
        <v>0</v>
      </c>
      <c r="K42" s="578">
        <f>SUMIF('Form A Mapping'!H:H, 'FY 24-25 Budget Form A'!A42,'Form A Mapping'!AF:AF)</f>
        <v>151717.74</v>
      </c>
      <c r="L42" s="578">
        <f>SUMIF('Form A Mapping'!H:H, 'FY 24-25 Budget Form A'!A42,'Form A Mapping'!AG:AG)</f>
        <v>0</v>
      </c>
      <c r="M42" s="578">
        <f>SUMIF('Form A Mapping'!H:H, 'FY 24-25 Budget Form A'!A42,'Form A Mapping'!AH:AH)</f>
        <v>64348.119999999995</v>
      </c>
      <c r="N42" s="578">
        <f>SUMIF('Form A Mapping'!H:H, 'FY 24-25 Budget Form A'!A42,'Form A Mapping'!AI:AI)</f>
        <v>0</v>
      </c>
    </row>
    <row r="43" spans="1:14" ht="16.899999999999999" customHeight="1">
      <c r="A43" s="558">
        <v>22</v>
      </c>
      <c r="B43" s="576"/>
      <c r="C43" s="576" t="s">
        <v>713</v>
      </c>
      <c r="D43" s="603"/>
      <c r="E43" s="577" t="s">
        <v>714</v>
      </c>
      <c r="F43" s="580" t="s">
        <v>636</v>
      </c>
      <c r="G43" s="578">
        <f>SUMIF('Form A Mapping'!H:H, 'FY 24-25 Budget Form A'!A43,'Form A Mapping'!AB:AB)</f>
        <v>0</v>
      </c>
      <c r="H43" s="578">
        <f>SUMIF('Form A Mapping'!H:H, 'FY 24-25 Budget Form A'!A43,'Form A Mapping'!AC:AC)</f>
        <v>0</v>
      </c>
      <c r="I43" s="578">
        <f>SUMIF('Form A Mapping'!H:H, 'FY 24-25 Budget Form A'!A43,'Form A Mapping'!AD:AD)</f>
        <v>0</v>
      </c>
      <c r="J43" s="578">
        <f>SUMIF('Form A Mapping'!H:H, 'FY 24-25 Budget Form A'!A43,'Form A Mapping'!AE:AE)</f>
        <v>0</v>
      </c>
      <c r="K43" s="578">
        <f>SUMIF('Form A Mapping'!H:H, 'FY 24-25 Budget Form A'!A43,'Form A Mapping'!AF:AF)</f>
        <v>0</v>
      </c>
      <c r="L43" s="578">
        <f>SUMIF('Form A Mapping'!H:H, 'FY 24-25 Budget Form A'!A43,'Form A Mapping'!AG:AG)</f>
        <v>0</v>
      </c>
      <c r="M43" s="578">
        <f>SUMIF('Form A Mapping'!H:H, 'FY 24-25 Budget Form A'!A43,'Form A Mapping'!AH:AH)</f>
        <v>0</v>
      </c>
      <c r="N43" s="578">
        <f>SUMIF('Form A Mapping'!H:H, 'FY 24-25 Budget Form A'!A43,'Form A Mapping'!AI:AI)</f>
        <v>0</v>
      </c>
    </row>
    <row r="44" spans="1:14" ht="16.899999999999999" customHeight="1" thickBot="1">
      <c r="A44" s="558">
        <v>23</v>
      </c>
      <c r="B44" s="576"/>
      <c r="C44" s="576" t="s">
        <v>715</v>
      </c>
      <c r="D44" s="603"/>
      <c r="E44" s="581" t="s">
        <v>716</v>
      </c>
      <c r="F44" s="582" t="s">
        <v>637</v>
      </c>
      <c r="G44" s="578">
        <f>SUMIF('Form A Mapping'!H:H, 'FY 24-25 Budget Form A'!A44,'Form A Mapping'!AB:AB)</f>
        <v>0</v>
      </c>
      <c r="H44" s="578">
        <f>SUMIF('Form A Mapping'!H:H, 'FY 24-25 Budget Form A'!A44,'Form A Mapping'!AC:AC)</f>
        <v>0</v>
      </c>
      <c r="I44" s="578">
        <f>SUMIF('Form A Mapping'!H:H, 'FY 24-25 Budget Form A'!A44,'Form A Mapping'!AD:AD)</f>
        <v>0</v>
      </c>
      <c r="J44" s="578">
        <f>SUMIF('Form A Mapping'!H:H, 'FY 24-25 Budget Form A'!A44,'Form A Mapping'!AE:AE)</f>
        <v>0</v>
      </c>
      <c r="K44" s="578">
        <f>SUMIF('Form A Mapping'!H:H, 'FY 24-25 Budget Form A'!A44,'Form A Mapping'!AF:AF)</f>
        <v>0</v>
      </c>
      <c r="L44" s="578">
        <f>SUMIF('Form A Mapping'!H:H, 'FY 24-25 Budget Form A'!A44,'Form A Mapping'!AG:AG)</f>
        <v>0</v>
      </c>
      <c r="M44" s="578">
        <f>SUMIF('Form A Mapping'!H:H, 'FY 24-25 Budget Form A'!A44,'Form A Mapping'!AH:AH)</f>
        <v>0</v>
      </c>
      <c r="N44" s="578">
        <f>SUMIF('Form A Mapping'!H:H, 'FY 24-25 Budget Form A'!A44,'Form A Mapping'!AI:AI)</f>
        <v>0</v>
      </c>
    </row>
    <row r="45" spans="1:14" ht="16.899999999999999" customHeight="1" thickBot="1">
      <c r="A45" s="583"/>
      <c r="B45" s="585"/>
      <c r="C45" s="585"/>
      <c r="D45" s="605" t="s">
        <v>717</v>
      </c>
      <c r="E45" s="587"/>
      <c r="F45" s="588" t="s">
        <v>718</v>
      </c>
      <c r="G45" s="589">
        <f>SUM(G42:G44)</f>
        <v>0</v>
      </c>
      <c r="H45" s="589">
        <f>SUM(H42:H44)</f>
        <v>267500</v>
      </c>
      <c r="I45" s="589">
        <f t="shared" ref="I45:N45" si="6">SUM(I42:I44)</f>
        <v>1136.04</v>
      </c>
      <c r="J45" s="589">
        <f t="shared" si="6"/>
        <v>0</v>
      </c>
      <c r="K45" s="589">
        <f t="shared" si="6"/>
        <v>151717.74</v>
      </c>
      <c r="L45" s="589">
        <f t="shared" si="6"/>
        <v>0</v>
      </c>
      <c r="M45" s="589">
        <f t="shared" si="6"/>
        <v>64348.119999999995</v>
      </c>
      <c r="N45" s="589">
        <f t="shared" si="6"/>
        <v>0</v>
      </c>
    </row>
    <row r="46" spans="1:14" ht="30" customHeight="1">
      <c r="A46" s="558">
        <v>24</v>
      </c>
      <c r="B46" s="576" t="s">
        <v>719</v>
      </c>
      <c r="D46" s="559"/>
      <c r="E46" s="577" t="s">
        <v>670</v>
      </c>
      <c r="F46" s="527" t="s">
        <v>638</v>
      </c>
      <c r="G46" s="578">
        <f>SUMIF('Form A Mapping'!H:H, 'FY 24-25 Budget Form A'!A46,'Form A Mapping'!AB:AB)</f>
        <v>0</v>
      </c>
      <c r="H46" s="578">
        <f>SUMIF('Form A Mapping'!H:H, 'FY 24-25 Budget Form A'!A46,'Form A Mapping'!AC:AC)</f>
        <v>0</v>
      </c>
      <c r="I46" s="578">
        <f>SUMIF('Form A Mapping'!H:H, 'FY 24-25 Budget Form A'!A46,'Form A Mapping'!AD:AD)</f>
        <v>0</v>
      </c>
      <c r="J46" s="578">
        <f>SUMIF('Form A Mapping'!H:H, 'FY 24-25 Budget Form A'!A46,'Form A Mapping'!AE:AE)</f>
        <v>0</v>
      </c>
      <c r="K46" s="578">
        <f>SUMIF('Form A Mapping'!H:H, 'FY 24-25 Budget Form A'!A46,'Form A Mapping'!AF:AF)</f>
        <v>0</v>
      </c>
      <c r="L46" s="578">
        <f>SUMIF('Form A Mapping'!H:H, 'FY 24-25 Budget Form A'!A46,'Form A Mapping'!AG:AG)</f>
        <v>0</v>
      </c>
      <c r="M46" s="578">
        <f>SUMIF('Form A Mapping'!H:H, 'FY 24-25 Budget Form A'!A46,'Form A Mapping'!AH:AH)</f>
        <v>0</v>
      </c>
      <c r="N46" s="578">
        <f>SUMIF('Form A Mapping'!H:H, 'FY 24-25 Budget Form A'!A46,'Form A Mapping'!AI:AI)</f>
        <v>0</v>
      </c>
    </row>
    <row r="47" spans="1:14" ht="30" customHeight="1">
      <c r="A47" s="558">
        <v>25</v>
      </c>
      <c r="B47" s="576" t="s">
        <v>720</v>
      </c>
      <c r="D47" s="559"/>
      <c r="E47" s="577" t="s">
        <v>721</v>
      </c>
      <c r="F47" s="527" t="s">
        <v>639</v>
      </c>
      <c r="G47" s="578">
        <f>SUMIF('Form A Mapping'!H:H, 'FY 24-25 Budget Form A'!A47,'Form A Mapping'!AB:AB)</f>
        <v>0</v>
      </c>
      <c r="H47" s="578">
        <f>SUMIF('Form A Mapping'!H:H, 'FY 24-25 Budget Form A'!A47,'Form A Mapping'!AC:AC)</f>
        <v>0</v>
      </c>
      <c r="I47" s="578">
        <f>SUMIF('Form A Mapping'!H:H, 'FY 24-25 Budget Form A'!A47,'Form A Mapping'!AD:AD)</f>
        <v>0</v>
      </c>
      <c r="J47" s="578">
        <f>SUMIF('Form A Mapping'!H:H, 'FY 24-25 Budget Form A'!A47,'Form A Mapping'!AE:AE)</f>
        <v>0</v>
      </c>
      <c r="K47" s="578">
        <f>SUMIF('Form A Mapping'!H:H, 'FY 24-25 Budget Form A'!A47,'Form A Mapping'!AF:AF)</f>
        <v>0</v>
      </c>
      <c r="L47" s="578">
        <f>SUMIF('Form A Mapping'!H:H, 'FY 24-25 Budget Form A'!A47,'Form A Mapping'!AG:AG)</f>
        <v>0</v>
      </c>
      <c r="M47" s="578">
        <f>SUMIF('Form A Mapping'!H:H, 'FY 24-25 Budget Form A'!A47,'Form A Mapping'!AH:AH)</f>
        <v>0</v>
      </c>
      <c r="N47" s="578">
        <f>SUMIF('Form A Mapping'!H:H, 'FY 24-25 Budget Form A'!A47,'Form A Mapping'!AI:AI)</f>
        <v>0</v>
      </c>
    </row>
    <row r="48" spans="1:14" ht="19.899999999999999" customHeight="1" thickBot="1">
      <c r="A48" s="558"/>
      <c r="D48" s="559"/>
      <c r="E48" s="574"/>
      <c r="F48" s="559"/>
      <c r="G48" s="578">
        <f>SUMIF('Form A Mapping'!H:H, 'FY 24-25 Budget Form A'!A48,'Form A Mapping'!AB:AB)</f>
        <v>0</v>
      </c>
      <c r="H48" s="578">
        <f>SUMIF('Form A Mapping'!H:H, 'FY 24-25 Budget Form A'!A48,'Form A Mapping'!AC:AC)</f>
        <v>0</v>
      </c>
      <c r="I48" s="578">
        <f>SUMIF('Form A Mapping'!H:H, 'FY 24-25 Budget Form A'!A48,'Form A Mapping'!AD:AD)</f>
        <v>0</v>
      </c>
      <c r="J48" s="578">
        <f>SUMIF('Form A Mapping'!H:H, 'FY 24-25 Budget Form A'!A48,'Form A Mapping'!AE:AE)</f>
        <v>0</v>
      </c>
      <c r="K48" s="578">
        <f>SUMIF('Form A Mapping'!H:H, 'FY 24-25 Budget Form A'!A48,'Form A Mapping'!AF:AF)</f>
        <v>0</v>
      </c>
      <c r="L48" s="578">
        <f>SUMIF('Form A Mapping'!H:H, 'FY 24-25 Budget Form A'!A48,'Form A Mapping'!AG:AG)</f>
        <v>0</v>
      </c>
      <c r="M48" s="578">
        <f>SUMIF('Form A Mapping'!H:H, 'FY 24-25 Budget Form A'!A48,'Form A Mapping'!AH:AH)</f>
        <v>0</v>
      </c>
      <c r="N48" s="578">
        <f>SUMIF('Form A Mapping'!H:H, 'FY 24-25 Budget Form A'!A48,'Form A Mapping'!AI:AI)</f>
        <v>0</v>
      </c>
    </row>
    <row r="49" spans="1:14" ht="16.899999999999999" customHeight="1" thickBot="1">
      <c r="A49" s="583"/>
      <c r="B49" s="584"/>
      <c r="C49" s="585" t="s">
        <v>642</v>
      </c>
      <c r="D49" s="586"/>
      <c r="E49" s="587"/>
      <c r="F49" s="588" t="s">
        <v>722</v>
      </c>
      <c r="G49" s="589">
        <f>G30+G40+G45+G46+G47</f>
        <v>2167988.5</v>
      </c>
      <c r="H49" s="589">
        <f>H30+H40+H45+H46+H47</f>
        <v>3426552.3159670029</v>
      </c>
      <c r="I49" s="589">
        <f t="shared" ref="I49:N49" si="7">I30+I40+I45+I46+I47</f>
        <v>1681675.1</v>
      </c>
      <c r="J49" s="589">
        <f t="shared" si="7"/>
        <v>0</v>
      </c>
      <c r="K49" s="589">
        <f t="shared" si="7"/>
        <v>1837522.03</v>
      </c>
      <c r="L49" s="589">
        <f t="shared" si="7"/>
        <v>1713801</v>
      </c>
      <c r="M49" s="589">
        <f t="shared" si="7"/>
        <v>386477.24999999994</v>
      </c>
      <c r="N49" s="589">
        <f t="shared" si="7"/>
        <v>0</v>
      </c>
    </row>
    <row r="50" spans="1:14" ht="30" customHeight="1">
      <c r="A50" s="558">
        <v>26</v>
      </c>
      <c r="B50" s="576" t="s">
        <v>723</v>
      </c>
      <c r="D50" s="559"/>
      <c r="E50" s="577" t="s">
        <v>602</v>
      </c>
      <c r="F50" s="527" t="s">
        <v>640</v>
      </c>
      <c r="G50" s="578">
        <f>SUMIF('Form A Mapping'!H:H, 'FY 24-25 Budget Form A'!A50,'Form A Mapping'!AB:AB)</f>
        <v>-146393</v>
      </c>
      <c r="H50" s="578">
        <f>SUMIF('Form A Mapping'!H:H, 'FY 24-25 Budget Form A'!A50,'Form A Mapping'!AC:AC)</f>
        <v>0</v>
      </c>
      <c r="I50" s="578">
        <f>SUMIF('Form A Mapping'!H:H, 'FY 24-25 Budget Form A'!A50,'Form A Mapping'!AD:AD)</f>
        <v>-9400</v>
      </c>
      <c r="J50" s="578">
        <f>SUMIF('Form A Mapping'!H:H, 'FY 24-25 Budget Form A'!A50,'Form A Mapping'!AE:AE)</f>
        <v>0</v>
      </c>
      <c r="K50" s="578">
        <f>SUMIF('Form A Mapping'!H:H, 'FY 24-25 Budget Form A'!A50,'Form A Mapping'!AF:AF)</f>
        <v>146393</v>
      </c>
      <c r="L50" s="578">
        <f>SUMIF('Form A Mapping'!H:H, 'FY 24-25 Budget Form A'!A50,'Form A Mapping'!AG:AG)</f>
        <v>0</v>
      </c>
      <c r="M50" s="578">
        <f>SUMIF('Form A Mapping'!H:H, 'FY 24-25 Budget Form A'!A50,'Form A Mapping'!AH:AH)</f>
        <v>9400</v>
      </c>
      <c r="N50" s="578">
        <f>SUMIF('Form A Mapping'!H:H, 'FY 24-25 Budget Form A'!A50,'Form A Mapping'!AI:AI)</f>
        <v>0</v>
      </c>
    </row>
    <row r="51" spans="1:14" ht="25" customHeight="1" thickBot="1">
      <c r="A51" s="558"/>
      <c r="D51" s="559"/>
      <c r="E51" s="574"/>
      <c r="F51" s="559"/>
      <c r="G51" s="578">
        <f>SUMIF('Form A Mapping'!H:H, 'FY 24-25 Budget Form A'!A51,'Form A Mapping'!AB:AB)</f>
        <v>0</v>
      </c>
      <c r="H51" s="578">
        <f>SUMIF('Form A Mapping'!H:H, 'FY 24-25 Budget Form A'!A51,'Form A Mapping'!AC:AC)</f>
        <v>0</v>
      </c>
      <c r="I51" s="578">
        <f>SUMIF('Form A Mapping'!H:H, 'FY 24-25 Budget Form A'!A51,'Form A Mapping'!AD:AD)</f>
        <v>0</v>
      </c>
      <c r="J51" s="578">
        <f>SUMIF('Form A Mapping'!H:H, 'FY 24-25 Budget Form A'!A51,'Form A Mapping'!AE:AE)</f>
        <v>0</v>
      </c>
      <c r="K51" s="578">
        <f>SUMIF('Form A Mapping'!H:H, 'FY 24-25 Budget Form A'!A51,'Form A Mapping'!AF:AF)</f>
        <v>0</v>
      </c>
      <c r="L51" s="578">
        <f>SUMIF('Form A Mapping'!H:H, 'FY 24-25 Budget Form A'!A51,'Form A Mapping'!AG:AG)</f>
        <v>0</v>
      </c>
      <c r="M51" s="578">
        <f>SUMIF('Form A Mapping'!H:H, 'FY 24-25 Budget Form A'!A51,'Form A Mapping'!AH:AH)</f>
        <v>0</v>
      </c>
      <c r="N51" s="578">
        <f>SUMIF('Form A Mapping'!H:H, 'FY 24-25 Budget Form A'!A51,'Form A Mapping'!AI:AI)</f>
        <v>0</v>
      </c>
    </row>
    <row r="52" spans="1:14" ht="16.899999999999999" customHeight="1" thickTop="1" thickBot="1">
      <c r="A52" s="594"/>
      <c r="B52" s="595" t="s">
        <v>724</v>
      </c>
      <c r="C52" s="596"/>
      <c r="D52" s="597"/>
      <c r="E52" s="598"/>
      <c r="F52" s="599" t="s">
        <v>678</v>
      </c>
      <c r="G52" s="600">
        <f>G49+G50</f>
        <v>2021595.5</v>
      </c>
      <c r="H52" s="600">
        <f>H49+H50</f>
        <v>3426552.3159670029</v>
      </c>
      <c r="I52" s="600">
        <f t="shared" ref="I52:N52" si="8">I49+I50</f>
        <v>1672275.1</v>
      </c>
      <c r="J52" s="600">
        <f t="shared" si="8"/>
        <v>0</v>
      </c>
      <c r="K52" s="600">
        <f t="shared" si="8"/>
        <v>1983915.03</v>
      </c>
      <c r="L52" s="600">
        <f t="shared" si="8"/>
        <v>1713801</v>
      </c>
      <c r="M52" s="600">
        <f t="shared" si="8"/>
        <v>395877.24999999994</v>
      </c>
      <c r="N52" s="600">
        <f t="shared" si="8"/>
        <v>0</v>
      </c>
    </row>
    <row r="53" spans="1:14" ht="25" customHeight="1" thickTop="1">
      <c r="A53" s="573"/>
      <c r="B53" s="607"/>
      <c r="C53" s="607"/>
      <c r="D53" s="608"/>
      <c r="E53" s="574"/>
      <c r="F53" s="559"/>
      <c r="G53" s="609"/>
      <c r="H53" s="601"/>
      <c r="I53" s="601"/>
      <c r="J53" s="601"/>
      <c r="K53" s="601"/>
      <c r="L53" s="601"/>
      <c r="M53" s="601"/>
      <c r="N53" s="601"/>
    </row>
    <row r="54" spans="1:14" ht="30" customHeight="1">
      <c r="A54" s="558"/>
      <c r="B54" s="576" t="s">
        <v>725</v>
      </c>
      <c r="D54" s="559"/>
      <c r="E54" s="574"/>
      <c r="F54" s="559"/>
      <c r="G54" s="609"/>
      <c r="H54" s="601"/>
      <c r="I54" s="601"/>
      <c r="J54" s="601"/>
      <c r="K54" s="601"/>
      <c r="L54" s="601"/>
      <c r="M54" s="601"/>
      <c r="N54" s="601"/>
    </row>
    <row r="55" spans="1:14">
      <c r="A55" s="558"/>
      <c r="C55" s="576" t="s">
        <v>726</v>
      </c>
      <c r="D55" s="559"/>
      <c r="E55" s="610" t="s">
        <v>727</v>
      </c>
      <c r="F55" s="611" t="s">
        <v>728</v>
      </c>
      <c r="G55" s="612">
        <f>G21-G52</f>
        <v>315081.6799999997</v>
      </c>
      <c r="H55" s="612">
        <f>H21-H52</f>
        <v>324852.18059406802</v>
      </c>
      <c r="I55" s="612">
        <f t="shared" ref="I55:N55" si="9">I21-I52</f>
        <v>-381857.31000000006</v>
      </c>
      <c r="J55" s="612">
        <f t="shared" si="9"/>
        <v>0</v>
      </c>
      <c r="K55" s="612">
        <f t="shared" si="9"/>
        <v>14500</v>
      </c>
      <c r="L55" s="612">
        <f t="shared" si="9"/>
        <v>-0.41663921298459172</v>
      </c>
      <c r="M55" s="612">
        <f t="shared" si="9"/>
        <v>364425.14000000007</v>
      </c>
      <c r="N55" s="612">
        <f t="shared" si="9"/>
        <v>0</v>
      </c>
    </row>
    <row r="56" spans="1:14" ht="25" customHeight="1">
      <c r="A56" s="558"/>
      <c r="B56" s="576" t="s">
        <v>729</v>
      </c>
      <c r="D56" s="559"/>
      <c r="E56" s="590"/>
      <c r="F56" s="527" t="s">
        <v>730</v>
      </c>
      <c r="G56" s="578"/>
      <c r="H56" s="578"/>
      <c r="I56" s="578"/>
      <c r="J56" s="578"/>
      <c r="K56" s="578"/>
      <c r="L56" s="578"/>
      <c r="M56" s="578"/>
      <c r="N56" s="578"/>
    </row>
    <row r="57" spans="1:14" ht="19.899999999999999" customHeight="1">
      <c r="A57" s="558"/>
      <c r="B57" s="576" t="s">
        <v>731</v>
      </c>
      <c r="D57" s="559"/>
      <c r="E57" s="590"/>
      <c r="F57" s="527" t="s">
        <v>732</v>
      </c>
      <c r="G57" s="578"/>
      <c r="H57" s="578"/>
      <c r="I57" s="578"/>
      <c r="J57" s="578"/>
      <c r="K57" s="578"/>
      <c r="L57" s="578"/>
      <c r="M57" s="578"/>
      <c r="N57" s="578"/>
    </row>
    <row r="58" spans="1:14" ht="19.899999999999999" customHeight="1">
      <c r="A58" s="558"/>
      <c r="B58" s="576" t="s">
        <v>733</v>
      </c>
      <c r="D58" s="559"/>
      <c r="E58" s="590"/>
      <c r="F58" s="527" t="s">
        <v>734</v>
      </c>
      <c r="G58" s="578"/>
      <c r="H58" s="578"/>
      <c r="I58" s="578"/>
      <c r="J58" s="578"/>
      <c r="K58" s="578"/>
      <c r="L58" s="578"/>
      <c r="M58" s="578"/>
      <c r="N58" s="578"/>
    </row>
    <row r="59" spans="1:14" ht="19.899999999999999" customHeight="1">
      <c r="A59" s="558"/>
      <c r="B59" s="576" t="s">
        <v>735</v>
      </c>
      <c r="D59" s="559"/>
      <c r="E59" s="590"/>
      <c r="F59" s="527" t="s">
        <v>736</v>
      </c>
      <c r="G59" s="578">
        <f>'Annual Budget '!F159</f>
        <v>1812733</v>
      </c>
      <c r="H59" s="593"/>
      <c r="I59" s="593"/>
      <c r="J59" s="593"/>
      <c r="K59" s="578"/>
      <c r="L59" s="578"/>
      <c r="M59" s="578"/>
      <c r="N59" s="593">
        <f>K60</f>
        <v>14500</v>
      </c>
    </row>
    <row r="60" spans="1:14" ht="19.899999999999999" customHeight="1">
      <c r="A60" s="558"/>
      <c r="B60" s="576" t="s">
        <v>737</v>
      </c>
      <c r="D60" s="559"/>
      <c r="E60" s="610" t="s">
        <v>727</v>
      </c>
      <c r="F60" s="611" t="s">
        <v>738</v>
      </c>
      <c r="G60" s="612">
        <f>SUM(G55:G59)</f>
        <v>2127814.6799999997</v>
      </c>
      <c r="H60" s="612">
        <f>SUM(H55:H59)</f>
        <v>324852.18059406802</v>
      </c>
      <c r="I60" s="612">
        <f t="shared" ref="I60:N60" si="10">SUM(I55:I59)</f>
        <v>-381857.31000000006</v>
      </c>
      <c r="J60" s="612">
        <f t="shared" si="10"/>
        <v>0</v>
      </c>
      <c r="K60" s="612">
        <f t="shared" si="10"/>
        <v>14500</v>
      </c>
      <c r="L60" s="612">
        <f t="shared" si="10"/>
        <v>-0.41663921298459172</v>
      </c>
      <c r="M60" s="612">
        <f t="shared" si="10"/>
        <v>364425.14000000007</v>
      </c>
      <c r="N60" s="612">
        <f t="shared" si="10"/>
        <v>14500</v>
      </c>
    </row>
    <row r="61" spans="1:14" ht="13.9" customHeight="1" thickBot="1">
      <c r="A61" s="564"/>
      <c r="B61" s="565"/>
      <c r="C61" s="565"/>
      <c r="D61" s="566"/>
      <c r="E61" s="613"/>
      <c r="F61" s="566"/>
      <c r="G61" s="614"/>
      <c r="H61" s="566"/>
      <c r="I61" s="566"/>
      <c r="J61" s="566"/>
      <c r="K61" s="566"/>
      <c r="L61" s="566"/>
      <c r="M61" s="566"/>
      <c r="N61" s="566"/>
    </row>
    <row r="62" spans="1:14" ht="16" thickTop="1"/>
    <row r="63" spans="1:14">
      <c r="B63" s="615" t="s">
        <v>739</v>
      </c>
    </row>
    <row r="67" spans="2:2">
      <c r="B67" s="543"/>
    </row>
  </sheetData>
  <protectedRanges>
    <protectedRange password="D8D3" sqref="G56:N58 K59:M59 G59 J16 K13:N17 G13:I17 K19:N19 G19:I19 K24:N29 G24:I29 K32:N39 G32:I39 K42:N44 G42:I44 K46:N48 G46:I48 K50:N51 G50:I51" name="Range1"/>
  </protectedRanges>
  <mergeCells count="9">
    <mergeCell ref="L9:L11"/>
    <mergeCell ref="M9:M11"/>
    <mergeCell ref="N9:N11"/>
    <mergeCell ref="D4:D5"/>
    <mergeCell ref="G9:G11"/>
    <mergeCell ref="H9:H11"/>
    <mergeCell ref="I9:I11"/>
    <mergeCell ref="J9:J11"/>
    <mergeCell ref="K9:K11"/>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63E51-435F-41C4-9A8A-A11BFA89D252}">
  <sheetPr codeName="Sheet2"/>
  <dimension ref="A1:Q173"/>
  <sheetViews>
    <sheetView workbookViewId="0">
      <selection activeCell="L15" sqref="L15"/>
    </sheetView>
  </sheetViews>
  <sheetFormatPr defaultRowHeight="15.5"/>
  <cols>
    <col min="1" max="1" width="8.69140625" bestFit="1" customWidth="1"/>
    <col min="2" max="2" width="11.765625" bestFit="1" customWidth="1"/>
    <col min="3" max="4" width="8.69140625" customWidth="1"/>
    <col min="7" max="7" width="29.84375" bestFit="1" customWidth="1"/>
    <col min="8" max="8" width="7.69140625" bestFit="1" customWidth="1"/>
    <col min="9" max="9" width="11" bestFit="1" customWidth="1"/>
    <col min="10" max="10" width="9.07421875" bestFit="1" customWidth="1"/>
    <col min="11" max="11" width="12.4609375" style="477" bestFit="1" customWidth="1"/>
    <col min="12" max="12" width="10" bestFit="1" customWidth="1"/>
    <col min="13" max="13" width="10.4609375" bestFit="1" customWidth="1"/>
    <col min="15" max="15" width="14.53515625" bestFit="1" customWidth="1"/>
    <col min="16" max="16" width="12.53515625" bestFit="1" customWidth="1"/>
    <col min="17" max="17" width="13.53515625" bestFit="1" customWidth="1"/>
  </cols>
  <sheetData>
    <row r="1" spans="1:13">
      <c r="A1" t="s">
        <v>277</v>
      </c>
      <c r="B1" t="s">
        <v>276</v>
      </c>
      <c r="C1" t="s">
        <v>596</v>
      </c>
      <c r="D1" t="s">
        <v>595</v>
      </c>
      <c r="E1" s="470"/>
      <c r="F1" s="470"/>
      <c r="G1" s="471" t="s">
        <v>236</v>
      </c>
      <c r="H1" s="471" t="s">
        <v>282</v>
      </c>
      <c r="I1" s="471" t="s">
        <v>260</v>
      </c>
      <c r="J1" s="471" t="s">
        <v>261</v>
      </c>
      <c r="K1" s="471" t="s">
        <v>569</v>
      </c>
      <c r="L1" s="471" t="s">
        <v>570</v>
      </c>
      <c r="M1" s="471" t="s">
        <v>571</v>
      </c>
    </row>
    <row r="2" spans="1:13">
      <c r="E2" s="472" t="s">
        <v>237</v>
      </c>
      <c r="F2" s="472"/>
      <c r="G2" s="473"/>
      <c r="H2" s="473"/>
      <c r="I2" s="473"/>
      <c r="J2" s="478"/>
    </row>
    <row r="3" spans="1:13">
      <c r="E3" s="472"/>
      <c r="F3" s="472" t="s">
        <v>238</v>
      </c>
      <c r="G3" s="473"/>
      <c r="H3" s="473"/>
      <c r="I3" s="473"/>
      <c r="J3" s="478"/>
    </row>
    <row r="4" spans="1:13">
      <c r="A4" t="str">
        <f t="shared" ref="A4:A35" si="0">LEFT(G4, 7)</f>
        <v>1994000</v>
      </c>
      <c r="B4">
        <v>7</v>
      </c>
      <c r="D4">
        <v>1</v>
      </c>
      <c r="E4" s="472"/>
      <c r="F4" s="472"/>
      <c r="G4" s="473" t="s">
        <v>283</v>
      </c>
      <c r="H4" s="506">
        <v>1949250</v>
      </c>
      <c r="I4" s="476">
        <f>H4-J4</f>
        <v>1949250</v>
      </c>
      <c r="J4" s="478"/>
    </row>
    <row r="5" spans="1:13">
      <c r="A5" t="str">
        <f t="shared" si="0"/>
        <v>1994000</v>
      </c>
      <c r="B5">
        <v>7</v>
      </c>
      <c r="D5">
        <v>1</v>
      </c>
      <c r="E5" s="472"/>
      <c r="F5" s="472"/>
      <c r="G5" s="473" t="s">
        <v>284</v>
      </c>
      <c r="H5" s="506"/>
      <c r="I5" s="476">
        <f t="shared" ref="I5:I68" si="1">H5-J5</f>
        <v>0</v>
      </c>
      <c r="J5" s="478"/>
    </row>
    <row r="6" spans="1:13">
      <c r="A6" t="str">
        <f t="shared" si="0"/>
        <v>3110000</v>
      </c>
      <c r="B6">
        <v>16</v>
      </c>
      <c r="D6">
        <v>3</v>
      </c>
      <c r="E6" s="472"/>
      <c r="F6" s="472"/>
      <c r="G6" s="473" t="s">
        <v>285</v>
      </c>
      <c r="H6" s="506">
        <v>1390554.1230767467</v>
      </c>
      <c r="I6" s="476">
        <f t="shared" si="1"/>
        <v>1390554.1230767467</v>
      </c>
      <c r="J6" s="478"/>
    </row>
    <row r="7" spans="1:13">
      <c r="A7" t="str">
        <f t="shared" si="0"/>
        <v>3110000</v>
      </c>
      <c r="B7">
        <v>16</v>
      </c>
      <c r="D7">
        <v>3</v>
      </c>
      <c r="E7" s="472"/>
      <c r="F7" s="472"/>
      <c r="G7" s="473" t="s">
        <v>286</v>
      </c>
      <c r="H7" s="506"/>
      <c r="I7" s="476">
        <f t="shared" si="1"/>
        <v>0</v>
      </c>
      <c r="J7" s="478"/>
    </row>
    <row r="8" spans="1:13">
      <c r="A8" t="str">
        <f t="shared" si="0"/>
        <v>3240000</v>
      </c>
      <c r="B8">
        <v>22</v>
      </c>
      <c r="D8">
        <v>2</v>
      </c>
      <c r="E8" s="472"/>
      <c r="F8" s="472"/>
      <c r="G8" s="473" t="s">
        <v>287</v>
      </c>
      <c r="H8" s="506">
        <v>111600</v>
      </c>
      <c r="I8" s="476">
        <f t="shared" si="1"/>
        <v>111600</v>
      </c>
      <c r="J8" s="478"/>
    </row>
    <row r="9" spans="1:13">
      <c r="A9" t="str">
        <f t="shared" si="0"/>
        <v>3290000</v>
      </c>
      <c r="B9">
        <v>25</v>
      </c>
      <c r="D9">
        <v>2</v>
      </c>
      <c r="E9" s="472"/>
      <c r="F9" s="472"/>
      <c r="G9" s="473" t="s">
        <v>288</v>
      </c>
      <c r="H9" s="506">
        <v>300000</v>
      </c>
      <c r="I9" s="476">
        <f t="shared" si="1"/>
        <v>300000</v>
      </c>
      <c r="J9" s="478"/>
    </row>
    <row r="10" spans="1:13">
      <c r="A10" t="str">
        <f t="shared" si="0"/>
        <v>3290000</v>
      </c>
      <c r="B10">
        <v>24</v>
      </c>
      <c r="D10">
        <v>2</v>
      </c>
      <c r="E10" s="472"/>
      <c r="F10" s="472"/>
      <c r="G10" s="473" t="s">
        <v>289</v>
      </c>
      <c r="H10" s="506"/>
      <c r="I10" s="476">
        <f t="shared" si="1"/>
        <v>0</v>
      </c>
      <c r="J10" s="481">
        <f>H10</f>
        <v>0</v>
      </c>
    </row>
    <row r="11" spans="1:13">
      <c r="A11" t="str">
        <f t="shared" si="0"/>
        <v>State a</v>
      </c>
      <c r="E11" s="472"/>
      <c r="F11" s="472"/>
      <c r="G11" s="479" t="s">
        <v>239</v>
      </c>
      <c r="H11" s="495">
        <f>H4+H6+H8+H9</f>
        <v>3751404.1230767467</v>
      </c>
      <c r="I11" s="476"/>
      <c r="J11" s="478"/>
    </row>
    <row r="12" spans="1:13">
      <c r="A12" t="str">
        <f t="shared" si="0"/>
        <v/>
      </c>
      <c r="E12" s="472"/>
      <c r="F12" s="472" t="s">
        <v>240</v>
      </c>
      <c r="G12" s="473"/>
      <c r="H12" s="506"/>
      <c r="I12" s="476"/>
      <c r="J12" s="478"/>
    </row>
    <row r="13" spans="1:13">
      <c r="A13" t="str">
        <f t="shared" si="0"/>
        <v>4515000</v>
      </c>
      <c r="B13">
        <v>41</v>
      </c>
      <c r="D13">
        <v>5</v>
      </c>
      <c r="E13" s="472"/>
      <c r="F13" s="472"/>
      <c r="G13" s="473" t="s">
        <v>290</v>
      </c>
      <c r="H13" s="506">
        <v>253953.58336078693</v>
      </c>
      <c r="I13" s="476">
        <f t="shared" si="1"/>
        <v>0</v>
      </c>
      <c r="J13" s="481">
        <f>H13</f>
        <v>253953.58336078693</v>
      </c>
    </row>
    <row r="14" spans="1:13">
      <c r="A14" t="str">
        <f t="shared" si="0"/>
        <v>4515000</v>
      </c>
      <c r="B14">
        <v>41</v>
      </c>
      <c r="D14">
        <v>5</v>
      </c>
      <c r="E14" s="472"/>
      <c r="F14" s="472"/>
      <c r="G14" s="473" t="s">
        <v>291</v>
      </c>
      <c r="H14" s="506"/>
      <c r="I14" s="476">
        <f t="shared" si="1"/>
        <v>0</v>
      </c>
      <c r="J14" s="481">
        <f t="shared" ref="J14:J26" si="2">H14</f>
        <v>0</v>
      </c>
    </row>
    <row r="15" spans="1:13">
      <c r="A15" t="str">
        <f t="shared" si="0"/>
        <v>4531000</v>
      </c>
      <c r="B15">
        <v>43</v>
      </c>
      <c r="D15">
        <v>5</v>
      </c>
      <c r="E15" s="472"/>
      <c r="F15" s="472"/>
      <c r="G15" s="473" t="s">
        <v>292</v>
      </c>
      <c r="H15" s="506">
        <v>54419</v>
      </c>
      <c r="I15" s="476">
        <f t="shared" si="1"/>
        <v>0</v>
      </c>
      <c r="J15" s="481">
        <f t="shared" si="2"/>
        <v>54419</v>
      </c>
    </row>
    <row r="16" spans="1:13">
      <c r="A16" t="str">
        <f t="shared" si="0"/>
        <v>4531000</v>
      </c>
      <c r="B16">
        <v>43</v>
      </c>
      <c r="D16">
        <v>5</v>
      </c>
      <c r="E16" s="472"/>
      <c r="F16" s="472"/>
      <c r="G16" s="473" t="s">
        <v>293</v>
      </c>
      <c r="H16" s="506"/>
      <c r="I16" s="476">
        <f t="shared" si="1"/>
        <v>0</v>
      </c>
      <c r="J16" s="481">
        <f t="shared" si="2"/>
        <v>0</v>
      </c>
    </row>
    <row r="17" spans="1:17">
      <c r="A17" t="str">
        <f t="shared" si="0"/>
        <v>4532000</v>
      </c>
      <c r="B17">
        <v>44</v>
      </c>
      <c r="D17">
        <v>5</v>
      </c>
      <c r="E17" s="472"/>
      <c r="F17" s="472"/>
      <c r="G17" s="473" t="s">
        <v>294</v>
      </c>
      <c r="H17" s="506">
        <v>3500</v>
      </c>
      <c r="I17" s="476">
        <f t="shared" si="1"/>
        <v>0</v>
      </c>
      <c r="J17" s="481">
        <f t="shared" si="2"/>
        <v>3500</v>
      </c>
    </row>
    <row r="18" spans="1:17">
      <c r="A18" t="str">
        <f t="shared" si="0"/>
        <v>4532000</v>
      </c>
      <c r="B18">
        <v>44</v>
      </c>
      <c r="D18">
        <v>5</v>
      </c>
      <c r="E18" s="472"/>
      <c r="F18" s="472"/>
      <c r="G18" s="473" t="s">
        <v>295</v>
      </c>
      <c r="H18" s="506"/>
      <c r="I18" s="476">
        <f t="shared" si="1"/>
        <v>0</v>
      </c>
      <c r="J18" s="481">
        <f t="shared" si="2"/>
        <v>0</v>
      </c>
    </row>
    <row r="19" spans="1:17">
      <c r="A19" t="str">
        <f t="shared" si="0"/>
        <v>4541000</v>
      </c>
      <c r="B19">
        <v>48</v>
      </c>
      <c r="D19">
        <v>5</v>
      </c>
      <c r="E19" s="472"/>
      <c r="F19" s="472"/>
      <c r="G19" s="473" t="s">
        <v>296</v>
      </c>
      <c r="H19" s="506">
        <v>750000</v>
      </c>
      <c r="I19" s="476">
        <f t="shared" si="1"/>
        <v>0</v>
      </c>
      <c r="J19" s="481">
        <f t="shared" si="2"/>
        <v>750000</v>
      </c>
    </row>
    <row r="20" spans="1:17">
      <c r="A20" t="str">
        <f t="shared" si="0"/>
        <v>4541000</v>
      </c>
      <c r="B20">
        <v>48</v>
      </c>
      <c r="D20">
        <v>5</v>
      </c>
      <c r="E20" s="472"/>
      <c r="F20" s="472"/>
      <c r="G20" s="473" t="s">
        <v>297</v>
      </c>
      <c r="H20" s="506"/>
      <c r="I20" s="476">
        <f t="shared" si="1"/>
        <v>0</v>
      </c>
      <c r="J20" s="481">
        <f t="shared" si="2"/>
        <v>0</v>
      </c>
    </row>
    <row r="21" spans="1:17">
      <c r="A21" t="str">
        <f t="shared" si="0"/>
        <v>4544000</v>
      </c>
      <c r="B21">
        <v>51</v>
      </c>
      <c r="D21">
        <v>5</v>
      </c>
      <c r="E21" s="472"/>
      <c r="F21" s="472"/>
      <c r="G21" s="473" t="s">
        <v>298</v>
      </c>
      <c r="H21" s="506">
        <v>27778</v>
      </c>
      <c r="I21" s="476">
        <f t="shared" si="1"/>
        <v>0</v>
      </c>
      <c r="J21" s="481">
        <f t="shared" si="2"/>
        <v>27778</v>
      </c>
    </row>
    <row r="22" spans="1:17">
      <c r="A22" t="str">
        <f t="shared" si="0"/>
        <v>4544000</v>
      </c>
      <c r="B22">
        <v>51</v>
      </c>
      <c r="D22">
        <v>5</v>
      </c>
      <c r="E22" s="472"/>
      <c r="F22" s="472"/>
      <c r="G22" s="473" t="s">
        <v>299</v>
      </c>
      <c r="H22" s="506"/>
      <c r="I22" s="476">
        <f t="shared" si="1"/>
        <v>0</v>
      </c>
      <c r="J22" s="481">
        <f t="shared" si="2"/>
        <v>0</v>
      </c>
    </row>
    <row r="23" spans="1:17">
      <c r="A23" t="str">
        <f t="shared" si="0"/>
        <v>4545000</v>
      </c>
      <c r="B23">
        <v>52</v>
      </c>
      <c r="D23">
        <v>5</v>
      </c>
      <c r="E23" s="472"/>
      <c r="F23" s="472"/>
      <c r="G23" s="473" t="s">
        <v>300</v>
      </c>
      <c r="H23" s="506">
        <v>18932</v>
      </c>
      <c r="I23" s="476">
        <f t="shared" si="1"/>
        <v>0</v>
      </c>
      <c r="J23" s="481">
        <f t="shared" si="2"/>
        <v>18932</v>
      </c>
    </row>
    <row r="24" spans="1:17">
      <c r="A24" t="str">
        <f t="shared" si="0"/>
        <v>4545000</v>
      </c>
      <c r="B24">
        <v>52</v>
      </c>
      <c r="D24">
        <v>5</v>
      </c>
      <c r="E24" s="472"/>
      <c r="F24" s="472"/>
      <c r="G24" s="473" t="s">
        <v>301</v>
      </c>
      <c r="H24" s="506"/>
      <c r="I24" s="476">
        <f t="shared" si="1"/>
        <v>0</v>
      </c>
      <c r="J24" s="481">
        <f t="shared" si="2"/>
        <v>0</v>
      </c>
    </row>
    <row r="25" spans="1:17">
      <c r="A25" t="str">
        <f t="shared" si="0"/>
        <v>4590000</v>
      </c>
      <c r="B25">
        <v>60</v>
      </c>
      <c r="D25">
        <v>5</v>
      </c>
      <c r="E25" s="472"/>
      <c r="F25" s="472"/>
      <c r="G25" s="473" t="s">
        <v>302</v>
      </c>
      <c r="H25" s="506">
        <v>600000</v>
      </c>
      <c r="I25" s="476">
        <f t="shared" si="1"/>
        <v>0</v>
      </c>
      <c r="J25" s="481">
        <f t="shared" si="2"/>
        <v>600000</v>
      </c>
    </row>
    <row r="26" spans="1:17">
      <c r="A26" t="str">
        <f t="shared" si="0"/>
        <v>4590000</v>
      </c>
      <c r="B26">
        <v>60</v>
      </c>
      <c r="D26">
        <v>5</v>
      </c>
      <c r="E26" s="472"/>
      <c r="F26" s="472"/>
      <c r="G26" s="473" t="s">
        <v>303</v>
      </c>
      <c r="H26" s="506"/>
      <c r="I26" s="476">
        <f t="shared" si="1"/>
        <v>0</v>
      </c>
      <c r="J26" s="481">
        <f t="shared" si="2"/>
        <v>0</v>
      </c>
    </row>
    <row r="27" spans="1:17">
      <c r="A27" t="str">
        <f t="shared" si="0"/>
        <v>Federal</v>
      </c>
      <c r="E27" s="472"/>
      <c r="F27" s="472"/>
      <c r="G27" s="479" t="s">
        <v>241</v>
      </c>
      <c r="H27" s="495">
        <f>SUM(H13:H26)</f>
        <v>1708582.583360787</v>
      </c>
      <c r="I27" s="476"/>
      <c r="J27" s="478"/>
    </row>
    <row r="28" spans="1:17">
      <c r="A28" t="str">
        <f t="shared" si="0"/>
        <v/>
      </c>
      <c r="E28" s="472"/>
      <c r="F28" s="472" t="s">
        <v>304</v>
      </c>
      <c r="G28" s="473"/>
      <c r="H28" s="506"/>
      <c r="I28" s="476"/>
      <c r="J28" s="478"/>
    </row>
    <row r="29" spans="1:17">
      <c r="A29" t="str">
        <f t="shared" si="0"/>
        <v>1999000</v>
      </c>
      <c r="B29">
        <v>8</v>
      </c>
      <c r="D29">
        <v>1</v>
      </c>
      <c r="E29" s="472"/>
      <c r="F29" s="472"/>
      <c r="G29" s="473" t="s">
        <v>305</v>
      </c>
      <c r="H29" s="506">
        <v>5218.3734843242592</v>
      </c>
      <c r="I29" s="476">
        <f t="shared" si="1"/>
        <v>0.37348432425915234</v>
      </c>
      <c r="J29" s="478">
        <v>5218</v>
      </c>
    </row>
    <row r="30" spans="1:17">
      <c r="A30" t="str">
        <f t="shared" si="0"/>
        <v>1999000</v>
      </c>
      <c r="B30">
        <v>8</v>
      </c>
      <c r="D30">
        <v>1</v>
      </c>
      <c r="E30" s="472"/>
      <c r="F30" s="472"/>
      <c r="G30" s="473" t="s">
        <v>306</v>
      </c>
      <c r="H30" s="506"/>
      <c r="I30" s="476">
        <f t="shared" si="1"/>
        <v>0</v>
      </c>
      <c r="J30" s="478"/>
      <c r="K30" s="507"/>
      <c r="L30" s="508"/>
      <c r="O30" s="504"/>
      <c r="P30" s="505"/>
      <c r="Q30" s="505"/>
    </row>
    <row r="31" spans="1:17">
      <c r="A31" t="str">
        <f t="shared" si="0"/>
        <v xml:space="preserve">Earned </v>
      </c>
      <c r="E31" s="472"/>
      <c r="F31" s="472"/>
      <c r="G31" s="479" t="s">
        <v>307</v>
      </c>
      <c r="H31" s="495">
        <f>H29</f>
        <v>5218.3734843242592</v>
      </c>
      <c r="I31" s="476"/>
      <c r="J31" s="478"/>
    </row>
    <row r="32" spans="1:17" ht="16" thickBot="1">
      <c r="A32" t="str">
        <f t="shared" si="0"/>
        <v/>
      </c>
      <c r="E32" s="472"/>
      <c r="F32" s="480" t="s">
        <v>242</v>
      </c>
      <c r="G32" s="479"/>
      <c r="H32" s="495">
        <f>H11+H27+H31</f>
        <v>5465205.0799218584</v>
      </c>
      <c r="I32" s="476"/>
      <c r="J32" s="478"/>
      <c r="K32" s="477">
        <f>SUM(J4:J32)</f>
        <v>1713800.583360787</v>
      </c>
      <c r="L32" s="492">
        <f>SUM(I4:J32)</f>
        <v>5465205.0799218584</v>
      </c>
      <c r="M32" s="493">
        <f>'Annual Budget '!K85</f>
        <v>5465205.0799218584</v>
      </c>
    </row>
    <row r="33" spans="1:10">
      <c r="A33" t="str">
        <f t="shared" si="0"/>
        <v/>
      </c>
      <c r="E33" s="472" t="s">
        <v>243</v>
      </c>
      <c r="F33" s="472"/>
      <c r="G33" s="473"/>
      <c r="H33" s="506"/>
      <c r="I33" s="476">
        <f t="shared" si="1"/>
        <v>0</v>
      </c>
      <c r="J33" s="478"/>
    </row>
    <row r="34" spans="1:10">
      <c r="A34" t="str">
        <f t="shared" si="0"/>
        <v/>
      </c>
      <c r="E34" s="472"/>
      <c r="F34" s="472" t="s">
        <v>244</v>
      </c>
      <c r="G34" s="473"/>
      <c r="H34" s="506"/>
      <c r="I34" s="476">
        <f t="shared" si="1"/>
        <v>0</v>
      </c>
      <c r="J34" s="478"/>
    </row>
    <row r="35" spans="1:10">
      <c r="A35" t="str">
        <f t="shared" si="0"/>
        <v>1111110</v>
      </c>
      <c r="B35">
        <v>81</v>
      </c>
      <c r="C35">
        <v>1110</v>
      </c>
      <c r="D35" s="509" cm="1">
        <f t="array" ref="D35">INDEX('Form A Mapping'!C:C, MATCH(1, (C35 &gt;= 'Form A Mapping'!A:A) * (C35 &lt;= 'Form A Mapping'!B:B), 0))</f>
        <v>7</v>
      </c>
      <c r="E35" s="472"/>
      <c r="F35" s="472"/>
      <c r="G35" s="473" t="s">
        <v>308</v>
      </c>
      <c r="H35" s="506">
        <v>46150</v>
      </c>
      <c r="I35" s="476">
        <f t="shared" si="1"/>
        <v>46150</v>
      </c>
      <c r="J35" s="478"/>
    </row>
    <row r="36" spans="1:10">
      <c r="A36" t="str">
        <f t="shared" ref="A36:A67" si="3">LEFT(G36, 7)</f>
        <v>1111110</v>
      </c>
      <c r="B36">
        <v>81</v>
      </c>
      <c r="C36">
        <v>1110</v>
      </c>
      <c r="D36" s="509" cm="1">
        <f t="array" ref="D36">INDEX('Form A Mapping'!C:C, MATCH(1, (C36 &gt;= 'Form A Mapping'!A:A) * (C36 &lt;= 'Form A Mapping'!B:B), 0))</f>
        <v>7</v>
      </c>
      <c r="E36" s="472"/>
      <c r="F36" s="472"/>
      <c r="G36" s="473" t="s">
        <v>309</v>
      </c>
      <c r="H36" s="506"/>
      <c r="I36" s="476">
        <f t="shared" si="1"/>
        <v>0</v>
      </c>
      <c r="J36" s="478"/>
    </row>
    <row r="37" spans="1:10">
      <c r="A37" t="str">
        <f t="shared" si="3"/>
        <v>1112220</v>
      </c>
      <c r="B37">
        <v>81</v>
      </c>
      <c r="C37">
        <v>2220</v>
      </c>
      <c r="D37" s="509" cm="1">
        <f t="array" ref="D37">INDEX('Form A Mapping'!C:C, MATCH(1, (C37 &gt;= 'Form A Mapping'!A:A) * (C37 &lt;= 'Form A Mapping'!B:B), 0))</f>
        <v>14</v>
      </c>
      <c r="E37" s="472"/>
      <c r="F37" s="472"/>
      <c r="G37" s="473" t="s">
        <v>310</v>
      </c>
      <c r="H37" s="506">
        <v>63186</v>
      </c>
      <c r="I37" s="476">
        <f t="shared" si="1"/>
        <v>15551</v>
      </c>
      <c r="J37" s="478">
        <v>47635</v>
      </c>
    </row>
    <row r="38" spans="1:10">
      <c r="A38" t="str">
        <f t="shared" si="3"/>
        <v>1112220</v>
      </c>
      <c r="B38">
        <v>81</v>
      </c>
      <c r="C38">
        <v>2220</v>
      </c>
      <c r="D38" s="509" cm="1">
        <f t="array" ref="D38">INDEX('Form A Mapping'!C:C, MATCH(1, (C38 &gt;= 'Form A Mapping'!A:A) * (C38 &lt;= 'Form A Mapping'!B:B), 0))</f>
        <v>14</v>
      </c>
      <c r="E38" s="472"/>
      <c r="F38" s="472"/>
      <c r="G38" s="473" t="s">
        <v>311</v>
      </c>
      <c r="H38" s="506"/>
      <c r="I38" s="476">
        <f t="shared" si="1"/>
        <v>0</v>
      </c>
      <c r="J38" s="478"/>
    </row>
    <row r="39" spans="1:10">
      <c r="A39" t="str">
        <f t="shared" si="3"/>
        <v>1112400</v>
      </c>
      <c r="B39">
        <v>81</v>
      </c>
      <c r="C39">
        <v>2400</v>
      </c>
      <c r="D39" s="509" cm="1">
        <f t="array" ref="D39">INDEX('Form A Mapping'!C:C, MATCH(1, (C39 &gt;= 'Form A Mapping'!A:A) * (C39 &lt;= 'Form A Mapping'!B:B), 0))</f>
        <v>16</v>
      </c>
      <c r="E39" s="472"/>
      <c r="F39" s="472"/>
      <c r="G39" s="473" t="s">
        <v>312</v>
      </c>
      <c r="H39" s="506">
        <v>219180</v>
      </c>
      <c r="I39" s="476">
        <f t="shared" si="1"/>
        <v>0</v>
      </c>
      <c r="J39" s="478">
        <v>219180</v>
      </c>
    </row>
    <row r="40" spans="1:10">
      <c r="A40" t="str">
        <f t="shared" si="3"/>
        <v>1112400</v>
      </c>
      <c r="B40">
        <v>81</v>
      </c>
      <c r="C40">
        <v>2400</v>
      </c>
      <c r="D40" s="509" cm="1">
        <f t="array" ref="D40">INDEX('Form A Mapping'!C:C, MATCH(1, (C40 &gt;= 'Form A Mapping'!A:A) * (C40 &lt;= 'Form A Mapping'!B:B), 0))</f>
        <v>16</v>
      </c>
      <c r="E40" s="472"/>
      <c r="F40" s="472"/>
      <c r="G40" s="473" t="s">
        <v>313</v>
      </c>
      <c r="H40" s="506"/>
      <c r="I40" s="476"/>
      <c r="J40" s="478"/>
    </row>
    <row r="41" spans="1:10">
      <c r="A41" t="str">
        <f t="shared" si="3"/>
        <v>1112410</v>
      </c>
      <c r="B41">
        <v>81</v>
      </c>
      <c r="C41">
        <v>2410</v>
      </c>
      <c r="D41" s="509" cm="1">
        <f t="array" ref="D41">INDEX('Form A Mapping'!C:C, MATCH(1, (C41 &gt;= 'Form A Mapping'!A:A) * (C41 &lt;= 'Form A Mapping'!B:B), 0))</f>
        <v>16</v>
      </c>
      <c r="E41" s="472"/>
      <c r="F41" s="472"/>
      <c r="G41" s="473" t="s">
        <v>314</v>
      </c>
      <c r="H41" s="506">
        <v>95600</v>
      </c>
      <c r="I41" s="476">
        <f t="shared" si="1"/>
        <v>95600</v>
      </c>
      <c r="J41" s="478"/>
    </row>
    <row r="42" spans="1:10">
      <c r="A42" t="str">
        <f t="shared" si="3"/>
        <v>1112410</v>
      </c>
      <c r="B42">
        <v>81</v>
      </c>
      <c r="C42">
        <v>2410</v>
      </c>
      <c r="D42" s="509" cm="1">
        <f t="array" ref="D42">INDEX('Form A Mapping'!C:C, MATCH(1, (C42 &gt;= 'Form A Mapping'!A:A) * (C42 &lt;= 'Form A Mapping'!B:B), 0))</f>
        <v>16</v>
      </c>
      <c r="E42" s="472"/>
      <c r="F42" s="472"/>
      <c r="G42" s="473" t="s">
        <v>315</v>
      </c>
      <c r="H42" s="506"/>
      <c r="I42" s="476"/>
      <c r="J42" s="478"/>
    </row>
    <row r="43" spans="1:10">
      <c r="A43" t="str">
        <f t="shared" si="3"/>
        <v>1112430</v>
      </c>
      <c r="B43">
        <v>79</v>
      </c>
      <c r="C43">
        <v>2430</v>
      </c>
      <c r="D43" s="509" cm="1">
        <f t="array" ref="D43">INDEX('Form A Mapping'!C:C, MATCH(1, (C43 &gt;= 'Form A Mapping'!A:A) * (C43 &lt;= 'Form A Mapping'!B:B), 0))</f>
        <v>16</v>
      </c>
      <c r="E43" s="472"/>
      <c r="F43" s="472"/>
      <c r="G43" s="473" t="s">
        <v>316</v>
      </c>
      <c r="H43" s="506">
        <v>90125.041200000007</v>
      </c>
      <c r="I43" s="476">
        <f t="shared" si="1"/>
        <v>90125.041200000007</v>
      </c>
      <c r="J43" s="478"/>
    </row>
    <row r="44" spans="1:10">
      <c r="A44" t="str">
        <f t="shared" si="3"/>
        <v>1112430</v>
      </c>
      <c r="B44">
        <v>79</v>
      </c>
      <c r="C44">
        <v>2430</v>
      </c>
      <c r="D44" s="509" cm="1">
        <f t="array" ref="D44">INDEX('Form A Mapping'!C:C, MATCH(1, (C44 &gt;= 'Form A Mapping'!A:A) * (C44 &lt;= 'Form A Mapping'!B:B), 0))</f>
        <v>16</v>
      </c>
      <c r="E44" s="472"/>
      <c r="F44" s="472"/>
      <c r="G44" s="473" t="s">
        <v>317</v>
      </c>
      <c r="H44" s="506"/>
      <c r="I44" s="476">
        <f t="shared" si="1"/>
        <v>0</v>
      </c>
      <c r="J44" s="478"/>
    </row>
    <row r="45" spans="1:10">
      <c r="A45" t="str">
        <f t="shared" si="3"/>
        <v>1112490</v>
      </c>
      <c r="B45">
        <v>81</v>
      </c>
      <c r="C45">
        <v>2490</v>
      </c>
      <c r="D45" s="509" cm="1">
        <f t="array" ref="D45">INDEX('Form A Mapping'!C:C, MATCH(1, (C45 &gt;= 'Form A Mapping'!A:A) * (C45 &lt;= 'Form A Mapping'!B:B), 0))</f>
        <v>16</v>
      </c>
      <c r="E45" s="472"/>
      <c r="F45" s="472"/>
      <c r="G45" s="473" t="s">
        <v>318</v>
      </c>
      <c r="H45" s="506">
        <v>62000</v>
      </c>
      <c r="I45" s="476">
        <f t="shared" si="1"/>
        <v>0</v>
      </c>
      <c r="J45" s="478">
        <v>62000</v>
      </c>
    </row>
    <row r="46" spans="1:10">
      <c r="A46" t="str">
        <f t="shared" si="3"/>
        <v>1112490</v>
      </c>
      <c r="B46">
        <v>81</v>
      </c>
      <c r="C46">
        <v>2490</v>
      </c>
      <c r="D46" s="509" cm="1">
        <f t="array" ref="D46">INDEX('Form A Mapping'!C:C, MATCH(1, (C46 &gt;= 'Form A Mapping'!A:A) * (C46 &lt;= 'Form A Mapping'!B:B), 0))</f>
        <v>16</v>
      </c>
      <c r="E46" s="472"/>
      <c r="F46" s="472"/>
      <c r="G46" s="473" t="s">
        <v>319</v>
      </c>
      <c r="H46" s="506"/>
      <c r="I46" s="476"/>
      <c r="J46" s="478"/>
    </row>
    <row r="47" spans="1:10">
      <c r="A47" t="str">
        <f t="shared" si="3"/>
        <v>1121110</v>
      </c>
      <c r="B47">
        <v>82</v>
      </c>
      <c r="C47">
        <v>1110</v>
      </c>
      <c r="D47" s="509" cm="1">
        <f t="array" ref="D47">INDEX('Form A Mapping'!C:C, MATCH(1, (C47 &gt;= 'Form A Mapping'!A:A) * (C47 &lt;= 'Form A Mapping'!B:B), 0))</f>
        <v>7</v>
      </c>
      <c r="E47" s="472"/>
      <c r="F47" s="472"/>
      <c r="G47" s="473" t="s">
        <v>320</v>
      </c>
      <c r="H47" s="506">
        <v>1197934</v>
      </c>
      <c r="I47" s="476">
        <f t="shared" si="1"/>
        <v>597934</v>
      </c>
      <c r="J47" s="478">
        <v>600000</v>
      </c>
    </row>
    <row r="48" spans="1:10">
      <c r="A48" t="str">
        <f t="shared" si="3"/>
        <v>1121110</v>
      </c>
      <c r="B48">
        <v>82</v>
      </c>
      <c r="C48">
        <v>1110</v>
      </c>
      <c r="D48" s="509" cm="1">
        <f t="array" ref="D48">INDEX('Form A Mapping'!C:C, MATCH(1, (C48 &gt;= 'Form A Mapping'!A:A) * (C48 &lt;= 'Form A Mapping'!B:B), 0))</f>
        <v>7</v>
      </c>
      <c r="E48" s="472"/>
      <c r="F48" s="472"/>
      <c r="G48" s="473" t="s">
        <v>321</v>
      </c>
      <c r="H48" s="506"/>
      <c r="I48" s="476"/>
      <c r="J48" s="478"/>
    </row>
    <row r="49" spans="1:10">
      <c r="A49" t="str">
        <f t="shared" si="3"/>
        <v>1121210</v>
      </c>
      <c r="B49">
        <v>82</v>
      </c>
      <c r="C49">
        <v>1210</v>
      </c>
      <c r="D49" s="509" cm="1">
        <f t="array" ref="D49">INDEX('Form A Mapping'!C:C, MATCH(1, (C49 &gt;= 'Form A Mapping'!A:A) * (C49 &lt;= 'Form A Mapping'!B:B), 0))</f>
        <v>8</v>
      </c>
      <c r="E49" s="472"/>
      <c r="F49" s="472"/>
      <c r="G49" s="473" t="s">
        <v>322</v>
      </c>
      <c r="H49" s="506">
        <v>112672</v>
      </c>
      <c r="I49" s="476">
        <f t="shared" si="1"/>
        <v>12672</v>
      </c>
      <c r="J49" s="478">
        <v>100000</v>
      </c>
    </row>
    <row r="50" spans="1:10">
      <c r="A50" t="str">
        <f t="shared" si="3"/>
        <v>1121210</v>
      </c>
      <c r="B50">
        <v>82</v>
      </c>
      <c r="C50">
        <v>1210</v>
      </c>
      <c r="D50" s="509" cm="1">
        <f t="array" ref="D50">INDEX('Form A Mapping'!C:C, MATCH(1, (C50 &gt;= 'Form A Mapping'!A:A) * (C50 &lt;= 'Form A Mapping'!B:B), 0))</f>
        <v>8</v>
      </c>
      <c r="E50" s="472"/>
      <c r="F50" s="472"/>
      <c r="G50" s="473" t="s">
        <v>323</v>
      </c>
      <c r="H50" s="506"/>
      <c r="I50" s="476">
        <f t="shared" si="1"/>
        <v>0</v>
      </c>
      <c r="J50" s="478"/>
    </row>
    <row r="51" spans="1:10">
      <c r="A51" t="str">
        <f t="shared" si="3"/>
        <v>1121520</v>
      </c>
      <c r="B51">
        <v>82</v>
      </c>
      <c r="C51">
        <v>1520</v>
      </c>
      <c r="D51" s="509" cm="1">
        <f t="array" ref="D51">INDEX('Form A Mapping'!C:C, MATCH(1, (C51 &gt;= 'Form A Mapping'!A:A) * (C51 &lt;= 'Form A Mapping'!B:B), 0))</f>
        <v>11</v>
      </c>
      <c r="E51" s="472"/>
      <c r="F51" s="472"/>
      <c r="G51" s="473" t="s">
        <v>324</v>
      </c>
      <c r="H51" s="506">
        <v>70000</v>
      </c>
      <c r="I51" s="476">
        <f t="shared" si="1"/>
        <v>70000</v>
      </c>
      <c r="J51" s="478"/>
    </row>
    <row r="52" spans="1:10">
      <c r="A52" t="str">
        <f t="shared" si="3"/>
        <v>1121590</v>
      </c>
      <c r="B52">
        <v>82</v>
      </c>
      <c r="C52">
        <v>1590</v>
      </c>
      <c r="D52" s="509" cm="1">
        <f t="array" ref="D52">INDEX('Form A Mapping'!C:C, MATCH(1, (C52 &gt;= 'Form A Mapping'!A:A) * (C52 &lt;= 'Form A Mapping'!B:B), 0))</f>
        <v>11</v>
      </c>
      <c r="E52" s="472"/>
      <c r="F52" s="472"/>
      <c r="G52" s="473" t="s">
        <v>325</v>
      </c>
      <c r="H52" s="506">
        <v>96350</v>
      </c>
      <c r="I52" s="476">
        <f t="shared" si="1"/>
        <v>0</v>
      </c>
      <c r="J52" s="478">
        <v>96350</v>
      </c>
    </row>
    <row r="53" spans="1:10">
      <c r="A53" t="str">
        <f t="shared" si="3"/>
        <v>1132122</v>
      </c>
      <c r="B53">
        <v>83</v>
      </c>
      <c r="C53">
        <v>2122</v>
      </c>
      <c r="D53" s="509" cm="1">
        <f t="array" ref="D53">INDEX('Form A Mapping'!C:C, MATCH(1, (C53 &gt;= 'Form A Mapping'!A:A) * (C53 &lt;= 'Form A Mapping'!B:B), 0))</f>
        <v>13</v>
      </c>
      <c r="E53" s="472"/>
      <c r="F53" s="472"/>
      <c r="G53" s="473" t="s">
        <v>326</v>
      </c>
      <c r="H53" s="506">
        <v>55336</v>
      </c>
      <c r="I53" s="476">
        <f t="shared" si="1"/>
        <v>0</v>
      </c>
      <c r="J53" s="478">
        <v>55336</v>
      </c>
    </row>
    <row r="54" spans="1:10">
      <c r="A54" t="str">
        <f t="shared" si="3"/>
        <v>1132122</v>
      </c>
      <c r="B54">
        <v>83</v>
      </c>
      <c r="C54">
        <v>2122</v>
      </c>
      <c r="D54" s="509" cm="1">
        <f t="array" ref="D54">INDEX('Form A Mapping'!C:C, MATCH(1, (C54 &gt;= 'Form A Mapping'!A:A) * (C54 &lt;= 'Form A Mapping'!B:B), 0))</f>
        <v>13</v>
      </c>
      <c r="E54" s="472"/>
      <c r="F54" s="472"/>
      <c r="G54" s="473" t="s">
        <v>327</v>
      </c>
      <c r="H54" s="506"/>
      <c r="I54" s="476"/>
      <c r="J54" s="478"/>
    </row>
    <row r="55" spans="1:10">
      <c r="A55" t="str">
        <f t="shared" si="3"/>
        <v>1142400</v>
      </c>
      <c r="B55">
        <v>84</v>
      </c>
      <c r="C55">
        <v>2400</v>
      </c>
      <c r="D55" s="509" cm="1">
        <f t="array" ref="D55">INDEX('Form A Mapping'!C:C, MATCH(1, (C55 &gt;= 'Form A Mapping'!A:A) * (C55 &lt;= 'Form A Mapping'!B:B), 0))</f>
        <v>16</v>
      </c>
      <c r="E55" s="472"/>
      <c r="F55" s="472"/>
      <c r="G55" s="473" t="s">
        <v>328</v>
      </c>
      <c r="H55" s="506">
        <v>155222</v>
      </c>
      <c r="I55" s="476">
        <f t="shared" si="1"/>
        <v>155222</v>
      </c>
      <c r="J55" s="478"/>
    </row>
    <row r="56" spans="1:10">
      <c r="A56" t="str">
        <f t="shared" si="3"/>
        <v>1142400</v>
      </c>
      <c r="B56">
        <v>84</v>
      </c>
      <c r="C56">
        <v>2400</v>
      </c>
      <c r="D56" s="509" cm="1">
        <f t="array" ref="D56">INDEX('Form A Mapping'!C:C, MATCH(1, (C56 &gt;= 'Form A Mapping'!A:A) * (C56 &lt;= 'Form A Mapping'!B:B), 0))</f>
        <v>16</v>
      </c>
      <c r="E56" s="472"/>
      <c r="F56" s="472"/>
      <c r="G56" s="473" t="s">
        <v>329</v>
      </c>
      <c r="H56" s="506"/>
      <c r="I56" s="476">
        <f t="shared" si="1"/>
        <v>0</v>
      </c>
      <c r="J56" s="478"/>
    </row>
    <row r="57" spans="1:10">
      <c r="A57" t="str">
        <f t="shared" si="3"/>
        <v>1151100</v>
      </c>
      <c r="B57">
        <v>86</v>
      </c>
      <c r="C57">
        <v>1100</v>
      </c>
      <c r="D57" s="509" cm="1">
        <f t="array" ref="D57">INDEX('Form A Mapping'!C:C, MATCH(1, (C57 &gt;= 'Form A Mapping'!A:A) * (C57 &lt;= 'Form A Mapping'!B:B), 0))</f>
        <v>7</v>
      </c>
      <c r="E57" s="472"/>
      <c r="F57" s="472"/>
      <c r="G57" s="473" t="s">
        <v>330</v>
      </c>
      <c r="H57" s="506"/>
      <c r="I57" s="476">
        <f t="shared" si="1"/>
        <v>0</v>
      </c>
      <c r="J57" s="478"/>
    </row>
    <row r="58" spans="1:10">
      <c r="A58" t="str">
        <f t="shared" si="3"/>
        <v>1151210</v>
      </c>
      <c r="B58">
        <v>86</v>
      </c>
      <c r="C58">
        <v>1210</v>
      </c>
      <c r="D58" s="509" cm="1">
        <f t="array" ref="D58">INDEX('Form A Mapping'!C:C, MATCH(1, (C58 &gt;= 'Form A Mapping'!A:A) * (C58 &lt;= 'Form A Mapping'!B:B), 0))</f>
        <v>8</v>
      </c>
      <c r="E58" s="472"/>
      <c r="F58" s="472"/>
      <c r="G58" s="473" t="s">
        <v>331</v>
      </c>
      <c r="H58" s="506">
        <v>38300</v>
      </c>
      <c r="I58" s="476">
        <f t="shared" si="1"/>
        <v>0</v>
      </c>
      <c r="J58" s="478">
        <v>38300</v>
      </c>
    </row>
    <row r="59" spans="1:10">
      <c r="A59" t="str">
        <f t="shared" si="3"/>
        <v>1151210</v>
      </c>
      <c r="B59">
        <v>86</v>
      </c>
      <c r="C59">
        <v>1210</v>
      </c>
      <c r="D59" s="509" cm="1">
        <f t="array" ref="D59">INDEX('Form A Mapping'!C:C, MATCH(1, (C59 &gt;= 'Form A Mapping'!A:A) * (C59 &lt;= 'Form A Mapping'!B:B), 0))</f>
        <v>8</v>
      </c>
      <c r="E59" s="472"/>
      <c r="F59" s="472"/>
      <c r="G59" s="473" t="s">
        <v>332</v>
      </c>
      <c r="H59" s="506"/>
      <c r="I59" s="476">
        <f t="shared" si="1"/>
        <v>0</v>
      </c>
      <c r="J59" s="478"/>
    </row>
    <row r="60" spans="1:10">
      <c r="A60" t="str">
        <f t="shared" si="3"/>
        <v>1162620</v>
      </c>
      <c r="B60">
        <v>85</v>
      </c>
      <c r="C60">
        <v>2620</v>
      </c>
      <c r="D60" s="509" cm="1">
        <f t="array" ref="D60">INDEX('Form A Mapping'!C:C, MATCH(1, (C60 &gt;= 'Form A Mapping'!A:A) * (C60 &lt;= 'Form A Mapping'!B:B), 0))</f>
        <v>18</v>
      </c>
      <c r="E60" s="472"/>
      <c r="F60" s="472"/>
      <c r="G60" s="473" t="s">
        <v>333</v>
      </c>
      <c r="H60" s="506"/>
      <c r="I60" s="476">
        <f t="shared" si="1"/>
        <v>0</v>
      </c>
      <c r="J60" s="478"/>
    </row>
    <row r="61" spans="1:10">
      <c r="A61" t="str">
        <f t="shared" si="3"/>
        <v>1162620</v>
      </c>
      <c r="B61">
        <v>85</v>
      </c>
      <c r="C61">
        <v>2620</v>
      </c>
      <c r="D61" s="509" cm="1">
        <f t="array" ref="D61">INDEX('Form A Mapping'!C:C, MATCH(1, (C61 &gt;= 'Form A Mapping'!A:A) * (C61 &lt;= 'Form A Mapping'!B:B), 0))</f>
        <v>18</v>
      </c>
      <c r="E61" s="472"/>
      <c r="F61" s="472"/>
      <c r="G61" s="473" t="s">
        <v>334</v>
      </c>
      <c r="H61" s="506"/>
      <c r="I61" s="476">
        <f t="shared" si="1"/>
        <v>0</v>
      </c>
      <c r="J61" s="478"/>
    </row>
    <row r="62" spans="1:10">
      <c r="A62" t="str">
        <f t="shared" si="3"/>
        <v>1501100</v>
      </c>
      <c r="B62">
        <v>86</v>
      </c>
      <c r="C62">
        <v>1100</v>
      </c>
      <c r="D62" s="509" cm="1">
        <f t="array" ref="D62">INDEX('Form A Mapping'!C:C, MATCH(1, (C62 &gt;= 'Form A Mapping'!A:A) * (C62 &lt;= 'Form A Mapping'!B:B), 0))</f>
        <v>7</v>
      </c>
      <c r="E62" s="472"/>
      <c r="F62" s="472"/>
      <c r="G62" s="473" t="s">
        <v>335</v>
      </c>
      <c r="H62" s="506">
        <v>50000</v>
      </c>
      <c r="I62" s="476">
        <f t="shared" si="1"/>
        <v>0</v>
      </c>
      <c r="J62" s="478">
        <v>50000</v>
      </c>
    </row>
    <row r="63" spans="1:10">
      <c r="A63" t="str">
        <f t="shared" si="3"/>
        <v>1502590</v>
      </c>
      <c r="B63">
        <v>86</v>
      </c>
      <c r="C63">
        <v>2590</v>
      </c>
      <c r="D63" s="509" cm="1">
        <f t="array" ref="D63">INDEX('Form A Mapping'!C:C, MATCH(1, (C63 &gt;= 'Form A Mapping'!A:A) * (C63 &lt;= 'Form A Mapping'!B:B), 0))</f>
        <v>17</v>
      </c>
      <c r="E63" s="472"/>
      <c r="F63" s="472"/>
      <c r="G63" s="473" t="s">
        <v>336</v>
      </c>
      <c r="H63" s="506">
        <v>35000</v>
      </c>
      <c r="I63" s="476">
        <f t="shared" si="1"/>
        <v>35000</v>
      </c>
      <c r="J63" s="478"/>
    </row>
    <row r="64" spans="1:10">
      <c r="A64" t="str">
        <f t="shared" si="3"/>
        <v>Salarie</v>
      </c>
      <c r="E64" s="472"/>
      <c r="F64" s="472"/>
      <c r="G64" s="479" t="s">
        <v>245</v>
      </c>
      <c r="H64" s="495">
        <f>SUM(H34:H63)</f>
        <v>2387055.0411999999</v>
      </c>
      <c r="I64" s="476"/>
      <c r="J64" s="478"/>
    </row>
    <row r="65" spans="1:10">
      <c r="A65" t="str">
        <f t="shared" si="3"/>
        <v/>
      </c>
      <c r="E65" s="472"/>
      <c r="F65" s="472" t="s">
        <v>246</v>
      </c>
      <c r="G65" s="473"/>
      <c r="H65" s="506"/>
      <c r="I65" s="476"/>
      <c r="J65" s="478"/>
    </row>
    <row r="66" spans="1:10">
      <c r="A66" t="str">
        <f t="shared" si="3"/>
        <v>2102400</v>
      </c>
      <c r="B66">
        <v>89</v>
      </c>
      <c r="C66">
        <v>2400</v>
      </c>
      <c r="E66" s="472"/>
      <c r="F66" s="472"/>
      <c r="G66" s="473" t="s">
        <v>337</v>
      </c>
      <c r="H66" s="506">
        <v>174296.84375</v>
      </c>
      <c r="I66" s="476">
        <f t="shared" si="1"/>
        <v>149296.84375</v>
      </c>
      <c r="J66" s="478">
        <v>25000</v>
      </c>
    </row>
    <row r="67" spans="1:10">
      <c r="A67" t="str">
        <f t="shared" si="3"/>
        <v>2102400</v>
      </c>
      <c r="B67">
        <v>89</v>
      </c>
      <c r="C67">
        <v>2400</v>
      </c>
      <c r="E67" s="472"/>
      <c r="F67" s="472"/>
      <c r="G67" s="473" t="s">
        <v>338</v>
      </c>
      <c r="H67" s="506"/>
      <c r="I67" s="476">
        <f t="shared" si="1"/>
        <v>0</v>
      </c>
      <c r="J67" s="478"/>
    </row>
    <row r="68" spans="1:10">
      <c r="A68" t="str">
        <f t="shared" ref="A68:A99" si="4">LEFT(G68, 7)</f>
        <v>2201100</v>
      </c>
      <c r="B68">
        <v>90</v>
      </c>
      <c r="C68">
        <v>1100</v>
      </c>
      <c r="E68" s="472"/>
      <c r="F68" s="472"/>
      <c r="G68" s="473" t="s">
        <v>339</v>
      </c>
      <c r="H68" s="506">
        <v>147997.41255439998</v>
      </c>
      <c r="I68" s="476">
        <f t="shared" si="1"/>
        <v>112997.41255439998</v>
      </c>
      <c r="J68" s="478">
        <v>35000</v>
      </c>
    </row>
    <row r="69" spans="1:10">
      <c r="A69" t="str">
        <f t="shared" si="4"/>
        <v>2201100</v>
      </c>
      <c r="B69">
        <v>90</v>
      </c>
      <c r="C69">
        <v>1100</v>
      </c>
      <c r="E69" s="472"/>
      <c r="F69" s="472"/>
      <c r="G69" s="473" t="s">
        <v>340</v>
      </c>
      <c r="H69" s="506"/>
      <c r="I69" s="476">
        <f t="shared" ref="I69:I132" si="5">H69-J69</f>
        <v>0</v>
      </c>
      <c r="J69" s="478"/>
    </row>
    <row r="70" spans="1:10">
      <c r="A70" t="str">
        <f t="shared" si="4"/>
        <v>2251100</v>
      </c>
      <c r="B70">
        <v>91</v>
      </c>
      <c r="C70">
        <v>1100</v>
      </c>
      <c r="E70" s="472"/>
      <c r="F70" s="472"/>
      <c r="G70" s="473" t="s">
        <v>341</v>
      </c>
      <c r="H70" s="506">
        <v>34612.298097399995</v>
      </c>
      <c r="I70" s="476">
        <f t="shared" si="5"/>
        <v>19612.298097399995</v>
      </c>
      <c r="J70" s="478">
        <v>15000</v>
      </c>
    </row>
    <row r="71" spans="1:10">
      <c r="A71" t="str">
        <f t="shared" si="4"/>
        <v>2251100</v>
      </c>
      <c r="B71">
        <v>91</v>
      </c>
      <c r="C71">
        <v>1100</v>
      </c>
      <c r="E71" s="472"/>
      <c r="F71" s="472"/>
      <c r="G71" s="473" t="s">
        <v>342</v>
      </c>
      <c r="H71" s="506"/>
      <c r="I71" s="476">
        <f t="shared" si="5"/>
        <v>0</v>
      </c>
      <c r="J71" s="478"/>
    </row>
    <row r="72" spans="1:10">
      <c r="A72" t="str">
        <f t="shared" si="4"/>
        <v>2391100</v>
      </c>
      <c r="B72">
        <v>92</v>
      </c>
      <c r="C72">
        <v>1100</v>
      </c>
      <c r="E72" s="472"/>
      <c r="F72" s="472"/>
      <c r="G72" s="473" t="s">
        <v>343</v>
      </c>
      <c r="H72" s="506">
        <v>47741.100824000001</v>
      </c>
      <c r="I72" s="476">
        <f t="shared" si="5"/>
        <v>27741.100824000001</v>
      </c>
      <c r="J72" s="478">
        <v>20000</v>
      </c>
    </row>
    <row r="73" spans="1:10">
      <c r="A73" t="str">
        <f t="shared" si="4"/>
        <v>2391100</v>
      </c>
      <c r="B73">
        <v>92</v>
      </c>
      <c r="C73">
        <v>1100</v>
      </c>
      <c r="E73" s="472"/>
      <c r="F73" s="472"/>
      <c r="G73" s="473" t="s">
        <v>344</v>
      </c>
      <c r="H73" s="506"/>
      <c r="I73" s="476">
        <f t="shared" si="5"/>
        <v>0</v>
      </c>
      <c r="J73" s="478"/>
    </row>
    <row r="74" spans="1:10">
      <c r="A74" t="str">
        <f t="shared" si="4"/>
        <v>2501100</v>
      </c>
      <c r="B74">
        <v>93</v>
      </c>
      <c r="C74">
        <v>1100</v>
      </c>
      <c r="E74" s="472"/>
      <c r="F74" s="472"/>
      <c r="G74" s="473" t="s">
        <v>345</v>
      </c>
      <c r="H74" s="506">
        <v>23870.550412000001</v>
      </c>
      <c r="I74" s="476">
        <f t="shared" si="5"/>
        <v>23870.550412000001</v>
      </c>
      <c r="J74" s="478"/>
    </row>
    <row r="75" spans="1:10">
      <c r="A75" t="str">
        <f t="shared" si="4"/>
        <v>2501100</v>
      </c>
      <c r="B75">
        <v>93</v>
      </c>
      <c r="C75">
        <v>1100</v>
      </c>
      <c r="E75" s="472"/>
      <c r="F75" s="472"/>
      <c r="G75" s="473" t="s">
        <v>346</v>
      </c>
      <c r="H75" s="506"/>
      <c r="I75" s="476">
        <f t="shared" si="5"/>
        <v>0</v>
      </c>
      <c r="J75" s="478"/>
    </row>
    <row r="76" spans="1:10">
      <c r="A76" t="str">
        <f t="shared" si="4"/>
        <v>2601100</v>
      </c>
      <c r="B76">
        <v>95</v>
      </c>
      <c r="C76">
        <v>1100</v>
      </c>
      <c r="E76" s="472"/>
      <c r="F76" s="472"/>
      <c r="G76" s="473" t="s">
        <v>347</v>
      </c>
      <c r="H76" s="506">
        <v>23870.550412000001</v>
      </c>
      <c r="I76" s="476">
        <f t="shared" si="5"/>
        <v>23870.550412000001</v>
      </c>
      <c r="J76" s="478"/>
    </row>
    <row r="77" spans="1:10">
      <c r="A77" t="str">
        <f t="shared" si="4"/>
        <v>2601100</v>
      </c>
      <c r="B77">
        <v>95</v>
      </c>
      <c r="C77">
        <v>1100</v>
      </c>
      <c r="E77" s="472"/>
      <c r="F77" s="472"/>
      <c r="G77" s="473" t="s">
        <v>348</v>
      </c>
      <c r="H77" s="506"/>
      <c r="I77" s="476">
        <f t="shared" si="5"/>
        <v>0</v>
      </c>
      <c r="J77" s="478"/>
    </row>
    <row r="78" spans="1:10">
      <c r="A78" t="str">
        <f t="shared" si="4"/>
        <v>2901100</v>
      </c>
      <c r="B78">
        <v>95</v>
      </c>
      <c r="C78">
        <v>1100</v>
      </c>
      <c r="E78" s="472"/>
      <c r="F78" s="472"/>
      <c r="G78" s="473" t="s">
        <v>349</v>
      </c>
      <c r="H78" s="506">
        <v>29465</v>
      </c>
      <c r="I78" s="476">
        <f t="shared" si="5"/>
        <v>29465</v>
      </c>
      <c r="J78" s="478"/>
    </row>
    <row r="79" spans="1:10">
      <c r="A79" t="str">
        <f t="shared" si="4"/>
        <v>2901100</v>
      </c>
      <c r="B79">
        <v>95</v>
      </c>
      <c r="C79">
        <v>1100</v>
      </c>
      <c r="E79" s="472"/>
      <c r="F79" s="472"/>
      <c r="G79" s="473" t="s">
        <v>350</v>
      </c>
      <c r="H79" s="506"/>
      <c r="I79" s="476">
        <f t="shared" si="5"/>
        <v>0</v>
      </c>
      <c r="J79" s="478"/>
    </row>
    <row r="80" spans="1:10">
      <c r="A80" t="str">
        <f t="shared" si="4"/>
        <v>Benefit</v>
      </c>
      <c r="E80" s="472"/>
      <c r="F80" s="472"/>
      <c r="G80" s="479" t="s">
        <v>247</v>
      </c>
      <c r="H80" s="495">
        <f>SUM(H66:H78)</f>
        <v>481853.75604979997</v>
      </c>
      <c r="I80" s="476"/>
      <c r="J80" s="478"/>
    </row>
    <row r="81" spans="1:10">
      <c r="A81" t="str">
        <f t="shared" si="4"/>
        <v/>
      </c>
      <c r="E81" s="472"/>
      <c r="F81" s="472" t="s">
        <v>248</v>
      </c>
      <c r="G81" s="473"/>
      <c r="H81" s="506"/>
      <c r="I81" s="476"/>
      <c r="J81" s="478"/>
    </row>
    <row r="82" spans="1:10">
      <c r="A82" t="str">
        <f t="shared" si="4"/>
        <v>3001210</v>
      </c>
      <c r="B82">
        <v>101</v>
      </c>
      <c r="C82">
        <v>1210</v>
      </c>
      <c r="D82" s="509" cm="1">
        <f t="array" ref="D82">INDEX('Form A Mapping'!C:C, MATCH(1, (C82 &gt;= 'Form A Mapping'!A:A) * (C82 &lt;= 'Form A Mapping'!B:B), 0))</f>
        <v>8</v>
      </c>
      <c r="E82" s="472"/>
      <c r="F82" s="472"/>
      <c r="G82" s="473" t="s">
        <v>351</v>
      </c>
      <c r="H82" s="506">
        <v>36250</v>
      </c>
      <c r="I82" s="476">
        <f t="shared" si="5"/>
        <v>36250</v>
      </c>
      <c r="J82" s="478"/>
    </row>
    <row r="83" spans="1:10">
      <c r="A83" t="str">
        <f t="shared" si="4"/>
        <v>3001210</v>
      </c>
      <c r="B83">
        <v>101</v>
      </c>
      <c r="C83">
        <v>1210</v>
      </c>
      <c r="D83" s="509" cm="1">
        <f t="array" ref="D83">INDEX('Form A Mapping'!C:C, MATCH(1, (C83 &gt;= 'Form A Mapping'!A:A) * (C83 &lt;= 'Form A Mapping'!B:B), 0))</f>
        <v>8</v>
      </c>
      <c r="E83" s="472"/>
      <c r="F83" s="472"/>
      <c r="G83" s="473" t="s">
        <v>352</v>
      </c>
      <c r="H83" s="506"/>
      <c r="I83" s="476">
        <f t="shared" si="5"/>
        <v>0</v>
      </c>
      <c r="J83" s="478"/>
    </row>
    <row r="84" spans="1:10">
      <c r="A84" t="str">
        <f t="shared" si="4"/>
        <v>3002140</v>
      </c>
      <c r="B84">
        <v>101</v>
      </c>
      <c r="C84">
        <v>2140</v>
      </c>
      <c r="D84" s="509" cm="1">
        <f t="array" ref="D84">INDEX('Form A Mapping'!C:C, MATCH(1, (C84 &gt;= 'Form A Mapping'!A:A) * (C84 &lt;= 'Form A Mapping'!B:B), 0))</f>
        <v>13</v>
      </c>
      <c r="E84" s="472"/>
      <c r="F84" s="472"/>
      <c r="G84" s="473" t="s">
        <v>353</v>
      </c>
      <c r="H84" s="506">
        <v>28750</v>
      </c>
      <c r="I84" s="476">
        <f t="shared" si="5"/>
        <v>28750</v>
      </c>
      <c r="J84" s="478"/>
    </row>
    <row r="85" spans="1:10">
      <c r="A85" t="str">
        <f t="shared" si="4"/>
        <v>3002140</v>
      </c>
      <c r="B85">
        <v>101</v>
      </c>
      <c r="C85">
        <v>2140</v>
      </c>
      <c r="D85" s="509" cm="1">
        <f t="array" ref="D85">INDEX('Form A Mapping'!C:C, MATCH(1, (C85 &gt;= 'Form A Mapping'!A:A) * (C85 &lt;= 'Form A Mapping'!B:B), 0))</f>
        <v>13</v>
      </c>
      <c r="E85" s="472"/>
      <c r="F85" s="472"/>
      <c r="G85" s="473" t="s">
        <v>354</v>
      </c>
      <c r="H85" s="506"/>
      <c r="I85" s="476">
        <f t="shared" si="5"/>
        <v>0</v>
      </c>
      <c r="J85" s="478"/>
    </row>
    <row r="86" spans="1:10">
      <c r="A86" t="str">
        <f t="shared" si="4"/>
        <v>3002150</v>
      </c>
      <c r="B86">
        <v>101</v>
      </c>
      <c r="C86">
        <v>2150</v>
      </c>
      <c r="D86" s="509" cm="1">
        <f t="array" ref="D86">INDEX('Form A Mapping'!C:C, MATCH(1, (C86 &gt;= 'Form A Mapping'!A:A) * (C86 &lt;= 'Form A Mapping'!B:B), 0))</f>
        <v>13</v>
      </c>
      <c r="E86" s="472"/>
      <c r="F86" s="472"/>
      <c r="G86" s="473" t="s">
        <v>355</v>
      </c>
      <c r="H86" s="506">
        <v>33750</v>
      </c>
      <c r="I86" s="476">
        <f t="shared" si="5"/>
        <v>33750</v>
      </c>
      <c r="J86" s="478"/>
    </row>
    <row r="87" spans="1:10">
      <c r="A87" t="str">
        <f t="shared" si="4"/>
        <v>3002150</v>
      </c>
      <c r="B87">
        <v>101</v>
      </c>
      <c r="C87">
        <v>2150</v>
      </c>
      <c r="D87" s="509" cm="1">
        <f t="array" ref="D87">INDEX('Form A Mapping'!C:C, MATCH(1, (C87 &gt;= 'Form A Mapping'!A:A) * (C87 &lt;= 'Form A Mapping'!B:B), 0))</f>
        <v>13</v>
      </c>
      <c r="E87" s="472"/>
      <c r="F87" s="472"/>
      <c r="G87" s="473" t="s">
        <v>356</v>
      </c>
      <c r="H87" s="506"/>
      <c r="I87" s="476">
        <f t="shared" si="5"/>
        <v>0</v>
      </c>
      <c r="J87" s="478"/>
    </row>
    <row r="88" spans="1:10">
      <c r="A88" t="str">
        <f t="shared" si="4"/>
        <v>3002160</v>
      </c>
      <c r="B88">
        <v>101</v>
      </c>
      <c r="C88">
        <v>2160</v>
      </c>
      <c r="D88" s="509" cm="1">
        <f t="array" ref="D88">INDEX('Form A Mapping'!C:C, MATCH(1, (C88 &gt;= 'Form A Mapping'!A:A) * (C88 &lt;= 'Form A Mapping'!B:B), 0))</f>
        <v>13</v>
      </c>
      <c r="E88" s="472"/>
      <c r="F88" s="472"/>
      <c r="G88" s="473" t="s">
        <v>357</v>
      </c>
      <c r="H88" s="506">
        <v>24750</v>
      </c>
      <c r="I88" s="476">
        <f t="shared" si="5"/>
        <v>24750</v>
      </c>
      <c r="J88" s="478"/>
    </row>
    <row r="89" spans="1:10">
      <c r="A89" t="str">
        <f t="shared" si="4"/>
        <v>3002160</v>
      </c>
      <c r="B89">
        <v>101</v>
      </c>
      <c r="C89">
        <v>2160</v>
      </c>
      <c r="D89" s="509" cm="1">
        <f t="array" ref="D89">INDEX('Form A Mapping'!C:C, MATCH(1, (C89 &gt;= 'Form A Mapping'!A:A) * (C89 &lt;= 'Form A Mapping'!B:B), 0))</f>
        <v>13</v>
      </c>
      <c r="E89" s="472"/>
      <c r="F89" s="472"/>
      <c r="G89" s="473" t="s">
        <v>358</v>
      </c>
      <c r="H89" s="506"/>
      <c r="I89" s="476">
        <f t="shared" si="5"/>
        <v>0</v>
      </c>
      <c r="J89" s="478"/>
    </row>
    <row r="90" spans="1:10">
      <c r="A90" t="str">
        <f t="shared" si="4"/>
        <v>3002231</v>
      </c>
      <c r="B90">
        <v>101</v>
      </c>
      <c r="C90">
        <v>2231</v>
      </c>
      <c r="D90" s="509" cm="1">
        <f t="array" ref="D90">INDEX('Form A Mapping'!C:C, MATCH(1, (C90 &gt;= 'Form A Mapping'!A:A) * (C90 &lt;= 'Form A Mapping'!B:B), 0))</f>
        <v>14</v>
      </c>
      <c r="E90" s="472"/>
      <c r="F90" s="472"/>
      <c r="G90" s="473" t="s">
        <v>359</v>
      </c>
      <c r="H90" s="506">
        <v>155000</v>
      </c>
      <c r="I90" s="476">
        <f t="shared" si="5"/>
        <v>55000</v>
      </c>
      <c r="J90" s="478">
        <v>100000</v>
      </c>
    </row>
    <row r="91" spans="1:10">
      <c r="A91" t="str">
        <f t="shared" si="4"/>
        <v>3002231</v>
      </c>
      <c r="B91">
        <v>101</v>
      </c>
      <c r="C91">
        <v>2231</v>
      </c>
      <c r="D91" s="509" cm="1">
        <f t="array" ref="D91">INDEX('Form A Mapping'!C:C, MATCH(1, (C91 &gt;= 'Form A Mapping'!A:A) * (C91 &lt;= 'Form A Mapping'!B:B), 0))</f>
        <v>14</v>
      </c>
      <c r="E91" s="472"/>
      <c r="F91" s="472"/>
      <c r="G91" s="473" t="s">
        <v>360</v>
      </c>
      <c r="H91" s="506"/>
      <c r="I91" s="476"/>
      <c r="J91" s="478"/>
    </row>
    <row r="92" spans="1:10">
      <c r="A92" t="str">
        <f t="shared" si="4"/>
        <v>3002232</v>
      </c>
      <c r="B92">
        <v>101</v>
      </c>
      <c r="C92">
        <v>2232</v>
      </c>
      <c r="D92" s="509" cm="1">
        <f t="array" ref="D92">INDEX('Form A Mapping'!C:C, MATCH(1, (C92 &gt;= 'Form A Mapping'!A:A) * (C92 &lt;= 'Form A Mapping'!B:B), 0))</f>
        <v>14</v>
      </c>
      <c r="E92" s="472"/>
      <c r="F92" s="472"/>
      <c r="G92" s="473" t="s">
        <v>361</v>
      </c>
      <c r="H92" s="506">
        <v>76705</v>
      </c>
      <c r="I92" s="476">
        <f t="shared" si="5"/>
        <v>76705</v>
      </c>
      <c r="J92" s="478"/>
    </row>
    <row r="93" spans="1:10">
      <c r="A93" t="str">
        <f t="shared" si="4"/>
        <v>3002232</v>
      </c>
      <c r="B93">
        <v>101</v>
      </c>
      <c r="C93">
        <v>2232</v>
      </c>
      <c r="D93" s="509" cm="1">
        <f t="array" ref="D93">INDEX('Form A Mapping'!C:C, MATCH(1, (C93 &gt;= 'Form A Mapping'!A:A) * (C93 &lt;= 'Form A Mapping'!B:B), 0))</f>
        <v>14</v>
      </c>
      <c r="E93" s="472"/>
      <c r="F93" s="472"/>
      <c r="G93" s="473" t="s">
        <v>362</v>
      </c>
      <c r="H93" s="506"/>
      <c r="I93" s="476">
        <f t="shared" si="5"/>
        <v>0</v>
      </c>
      <c r="J93" s="478"/>
    </row>
    <row r="94" spans="1:10">
      <c r="A94" t="str">
        <f t="shared" si="4"/>
        <v>3002400</v>
      </c>
      <c r="B94">
        <v>101</v>
      </c>
      <c r="C94">
        <v>2400</v>
      </c>
      <c r="D94" s="509" cm="1">
        <f t="array" ref="D94">INDEX('Form A Mapping'!C:C, MATCH(1, (C94 &gt;= 'Form A Mapping'!A:A) * (C94 &lt;= 'Form A Mapping'!B:B), 0))</f>
        <v>16</v>
      </c>
      <c r="E94" s="472"/>
      <c r="F94" s="472"/>
      <c r="G94" s="473" t="s">
        <v>363</v>
      </c>
      <c r="H94" s="506">
        <v>99000</v>
      </c>
      <c r="I94" s="476">
        <f t="shared" si="5"/>
        <v>99000</v>
      </c>
      <c r="J94" s="478"/>
    </row>
    <row r="95" spans="1:10">
      <c r="A95" t="str">
        <f t="shared" si="4"/>
        <v>3002400</v>
      </c>
      <c r="B95">
        <v>101</v>
      </c>
      <c r="C95">
        <v>2400</v>
      </c>
      <c r="D95" s="509" cm="1">
        <f t="array" ref="D95">INDEX('Form A Mapping'!C:C, MATCH(1, (C95 &gt;= 'Form A Mapping'!A:A) * (C95 &lt;= 'Form A Mapping'!B:B), 0))</f>
        <v>16</v>
      </c>
      <c r="E95" s="472"/>
      <c r="F95" s="472"/>
      <c r="G95" s="473" t="s">
        <v>364</v>
      </c>
      <c r="H95" s="506"/>
      <c r="I95" s="476">
        <f t="shared" si="5"/>
        <v>0</v>
      </c>
      <c r="J95" s="478"/>
    </row>
    <row r="96" spans="1:10">
      <c r="A96" t="str">
        <f t="shared" si="4"/>
        <v>3002510</v>
      </c>
      <c r="B96">
        <v>101</v>
      </c>
      <c r="C96">
        <v>2510</v>
      </c>
      <c r="D96" s="509" cm="1">
        <f t="array" ref="D96">INDEX('Form A Mapping'!C:C, MATCH(1, (C96 &gt;= 'Form A Mapping'!A:A) * (C96 &lt;= 'Form A Mapping'!B:B), 0))</f>
        <v>17</v>
      </c>
      <c r="E96" s="472"/>
      <c r="F96" s="472"/>
      <c r="G96" s="473" t="s">
        <v>365</v>
      </c>
      <c r="H96" s="506">
        <v>96500</v>
      </c>
      <c r="I96" s="476">
        <f t="shared" si="5"/>
        <v>96500</v>
      </c>
      <c r="J96" s="478"/>
    </row>
    <row r="97" spans="1:10">
      <c r="A97" t="str">
        <f t="shared" si="4"/>
        <v>3002510</v>
      </c>
      <c r="B97">
        <v>101</v>
      </c>
      <c r="C97">
        <v>2510</v>
      </c>
      <c r="D97" s="509" cm="1">
        <f t="array" ref="D97">INDEX('Form A Mapping'!C:C, MATCH(1, (C97 &gt;= 'Form A Mapping'!A:A) * (C97 &lt;= 'Form A Mapping'!B:B), 0))</f>
        <v>17</v>
      </c>
      <c r="E97" s="472"/>
      <c r="F97" s="472"/>
      <c r="G97" s="473" t="s">
        <v>366</v>
      </c>
      <c r="H97" s="506"/>
      <c r="I97" s="476">
        <f t="shared" si="5"/>
        <v>0</v>
      </c>
      <c r="J97" s="478"/>
    </row>
    <row r="98" spans="1:10">
      <c r="A98" t="str">
        <f t="shared" si="4"/>
        <v>3002660</v>
      </c>
      <c r="B98">
        <v>101</v>
      </c>
      <c r="C98">
        <v>2660</v>
      </c>
      <c r="D98" s="509" cm="1">
        <f t="array" ref="D98">INDEX('Form A Mapping'!C:C, MATCH(1, (C98 &gt;= 'Form A Mapping'!A:A) * (C98 &lt;= 'Form A Mapping'!B:B), 0))</f>
        <v>18</v>
      </c>
      <c r="E98" s="472"/>
      <c r="F98" s="472"/>
      <c r="G98" s="473" t="s">
        <v>367</v>
      </c>
      <c r="H98" s="506">
        <v>18750</v>
      </c>
      <c r="I98" s="476">
        <f t="shared" si="5"/>
        <v>18750</v>
      </c>
      <c r="J98" s="478"/>
    </row>
    <row r="99" spans="1:10">
      <c r="A99" t="str">
        <f t="shared" si="4"/>
        <v>3002660</v>
      </c>
      <c r="B99">
        <v>101</v>
      </c>
      <c r="C99">
        <v>2660</v>
      </c>
      <c r="D99" s="509" cm="1">
        <f t="array" ref="D99">INDEX('Form A Mapping'!C:C, MATCH(1, (C99 &gt;= 'Form A Mapping'!A:A) * (C99 &lt;= 'Form A Mapping'!B:B), 0))</f>
        <v>18</v>
      </c>
      <c r="E99" s="472"/>
      <c r="F99" s="472"/>
      <c r="G99" s="473" t="s">
        <v>368</v>
      </c>
      <c r="H99" s="506"/>
      <c r="I99" s="476">
        <f t="shared" si="5"/>
        <v>0</v>
      </c>
      <c r="J99" s="478"/>
    </row>
    <row r="100" spans="1:10">
      <c r="A100" t="str">
        <f t="shared" ref="A100:A131" si="6">LEFT(G100, 7)</f>
        <v>3002830</v>
      </c>
      <c r="B100">
        <v>101</v>
      </c>
      <c r="C100">
        <v>2830</v>
      </c>
      <c r="D100" s="509" cm="1">
        <f t="array" ref="D100">INDEX('Form A Mapping'!C:C, MATCH(1, (C100 &gt;= 'Form A Mapping'!A:A) * (C100 &lt;= 'Form A Mapping'!B:B), 0))</f>
        <v>20</v>
      </c>
      <c r="E100" s="472"/>
      <c r="F100" s="472"/>
      <c r="G100" s="473" t="s">
        <v>369</v>
      </c>
      <c r="H100" s="506">
        <v>36000</v>
      </c>
      <c r="I100" s="476">
        <f t="shared" si="5"/>
        <v>36000</v>
      </c>
      <c r="J100" s="478"/>
    </row>
    <row r="101" spans="1:10">
      <c r="A101" t="str">
        <f t="shared" si="6"/>
        <v>3002830</v>
      </c>
      <c r="B101">
        <v>101</v>
      </c>
      <c r="C101">
        <v>2830</v>
      </c>
      <c r="D101" s="509" cm="1">
        <f t="array" ref="D101">INDEX('Form A Mapping'!C:C, MATCH(1, (C101 &gt;= 'Form A Mapping'!A:A) * (C101 &lt;= 'Form A Mapping'!B:B), 0))</f>
        <v>20</v>
      </c>
      <c r="E101" s="472"/>
      <c r="F101" s="472"/>
      <c r="G101" s="473" t="s">
        <v>370</v>
      </c>
      <c r="H101" s="506"/>
      <c r="I101" s="476">
        <f t="shared" si="5"/>
        <v>0</v>
      </c>
      <c r="J101" s="478"/>
    </row>
    <row r="102" spans="1:10">
      <c r="A102" t="str">
        <f t="shared" si="6"/>
        <v>3322310</v>
      </c>
      <c r="B102">
        <v>98</v>
      </c>
      <c r="C102">
        <v>2310</v>
      </c>
      <c r="D102" s="509" cm="1">
        <f t="array" ref="D102">INDEX('Form A Mapping'!C:C, MATCH(1, (C102 &gt;= 'Form A Mapping'!A:A) * (C102 &lt;= 'Form A Mapping'!B:B), 0))</f>
        <v>15</v>
      </c>
      <c r="E102" s="472"/>
      <c r="F102" s="472"/>
      <c r="G102" s="473" t="s">
        <v>371</v>
      </c>
      <c r="H102" s="506">
        <v>12500</v>
      </c>
      <c r="I102" s="476">
        <f t="shared" si="5"/>
        <v>12500</v>
      </c>
      <c r="J102" s="478"/>
    </row>
    <row r="103" spans="1:10">
      <c r="A103" t="str">
        <f t="shared" si="6"/>
        <v>3322310</v>
      </c>
      <c r="B103">
        <v>98</v>
      </c>
      <c r="C103">
        <v>2310</v>
      </c>
      <c r="D103" s="509" cm="1">
        <f t="array" ref="D103">INDEX('Form A Mapping'!C:C, MATCH(1, (C103 &gt;= 'Form A Mapping'!A:A) * (C103 &lt;= 'Form A Mapping'!B:B), 0))</f>
        <v>15</v>
      </c>
      <c r="E103" s="472"/>
      <c r="F103" s="472"/>
      <c r="G103" s="473" t="s">
        <v>372</v>
      </c>
      <c r="H103" s="506"/>
      <c r="I103" s="476">
        <f t="shared" si="5"/>
        <v>0</v>
      </c>
      <c r="J103" s="478"/>
    </row>
    <row r="104" spans="1:10">
      <c r="A104" t="str">
        <f t="shared" si="6"/>
        <v>3332310</v>
      </c>
      <c r="B104">
        <v>99</v>
      </c>
      <c r="C104">
        <v>2310</v>
      </c>
      <c r="D104" s="509" cm="1">
        <f t="array" ref="D104">INDEX('Form A Mapping'!C:C, MATCH(1, (C104 &gt;= 'Form A Mapping'!A:A) * (C104 &lt;= 'Form A Mapping'!B:B), 0))</f>
        <v>15</v>
      </c>
      <c r="E104" s="472"/>
      <c r="F104" s="472"/>
      <c r="G104" s="473" t="s">
        <v>373</v>
      </c>
      <c r="H104" s="506">
        <v>17677</v>
      </c>
      <c r="I104" s="476">
        <f t="shared" si="5"/>
        <v>17677</v>
      </c>
      <c r="J104" s="478"/>
    </row>
    <row r="105" spans="1:10">
      <c r="A105" t="str">
        <f t="shared" si="6"/>
        <v>3332310</v>
      </c>
      <c r="B105">
        <v>99</v>
      </c>
      <c r="C105">
        <v>2310</v>
      </c>
      <c r="D105" s="509" cm="1">
        <f t="array" ref="D105">INDEX('Form A Mapping'!C:C, MATCH(1, (C105 &gt;= 'Form A Mapping'!A:A) * (C105 &lt;= 'Form A Mapping'!B:B), 0))</f>
        <v>15</v>
      </c>
      <c r="E105" s="472"/>
      <c r="F105" s="472"/>
      <c r="G105" s="473" t="s">
        <v>374</v>
      </c>
      <c r="H105" s="506"/>
      <c r="I105" s="476">
        <f t="shared" si="5"/>
        <v>0</v>
      </c>
      <c r="J105" s="478"/>
    </row>
    <row r="106" spans="1:10">
      <c r="A106" t="str">
        <f t="shared" si="6"/>
        <v>3352134</v>
      </c>
      <c r="B106">
        <v>101</v>
      </c>
      <c r="C106">
        <v>2134</v>
      </c>
      <c r="D106" s="509" cm="1">
        <f t="array" ref="D106">INDEX('Form A Mapping'!C:C, MATCH(1, (C106 &gt;= 'Form A Mapping'!A:A) * (C106 &lt;= 'Form A Mapping'!B:B), 0))</f>
        <v>13</v>
      </c>
      <c r="E106" s="472"/>
      <c r="F106" s="472"/>
      <c r="G106" s="473" t="s">
        <v>375</v>
      </c>
      <c r="H106" s="506">
        <v>5000</v>
      </c>
      <c r="I106" s="476">
        <f t="shared" si="5"/>
        <v>5000</v>
      </c>
      <c r="J106" s="478"/>
    </row>
    <row r="107" spans="1:10">
      <c r="A107" t="str">
        <f t="shared" si="6"/>
        <v>3352134</v>
      </c>
      <c r="B107">
        <v>101</v>
      </c>
      <c r="C107">
        <v>2134</v>
      </c>
      <c r="D107" s="509" cm="1">
        <f t="array" ref="D107">INDEX('Form A Mapping'!C:C, MATCH(1, (C107 &gt;= 'Form A Mapping'!A:A) * (C107 &lt;= 'Form A Mapping'!B:B), 0))</f>
        <v>13</v>
      </c>
      <c r="E107" s="472"/>
      <c r="F107" s="472"/>
      <c r="G107" s="473" t="s">
        <v>376</v>
      </c>
      <c r="H107" s="506"/>
      <c r="I107" s="476">
        <f t="shared" si="5"/>
        <v>0</v>
      </c>
      <c r="J107" s="478"/>
    </row>
    <row r="108" spans="1:10">
      <c r="A108" t="str">
        <f t="shared" si="6"/>
        <v>3402840</v>
      </c>
      <c r="B108">
        <v>101</v>
      </c>
      <c r="C108">
        <v>2840</v>
      </c>
      <c r="D108" s="509" cm="1">
        <f t="array" ref="D108">INDEX('Form A Mapping'!C:C, MATCH(1, (C108 &gt;= 'Form A Mapping'!A:A) * (C108 &lt;= 'Form A Mapping'!B:B), 0))</f>
        <v>20</v>
      </c>
      <c r="E108" s="472"/>
      <c r="F108" s="472"/>
      <c r="G108" s="473" t="s">
        <v>377</v>
      </c>
      <c r="H108" s="506">
        <v>138750</v>
      </c>
      <c r="I108" s="476">
        <f t="shared" si="5"/>
        <v>38750</v>
      </c>
      <c r="J108" s="478">
        <v>100000</v>
      </c>
    </row>
    <row r="109" spans="1:10">
      <c r="A109" t="str">
        <f t="shared" si="6"/>
        <v>3402840</v>
      </c>
      <c r="B109">
        <v>101</v>
      </c>
      <c r="C109">
        <v>2840</v>
      </c>
      <c r="D109" s="509" cm="1">
        <f t="array" ref="D109">INDEX('Form A Mapping'!C:C, MATCH(1, (C109 &gt;= 'Form A Mapping'!A:A) * (C109 &lt;= 'Form A Mapping'!B:B), 0))</f>
        <v>20</v>
      </c>
      <c r="E109" s="472"/>
      <c r="F109" s="472"/>
      <c r="G109" s="473" t="s">
        <v>378</v>
      </c>
      <c r="H109" s="506"/>
      <c r="I109" s="476">
        <f t="shared" si="5"/>
        <v>0</v>
      </c>
      <c r="J109" s="478"/>
    </row>
    <row r="110" spans="1:10">
      <c r="A110" t="str">
        <f t="shared" si="6"/>
        <v>Purchas</v>
      </c>
      <c r="E110" s="472"/>
      <c r="F110" s="472"/>
      <c r="G110" s="479" t="s">
        <v>249</v>
      </c>
      <c r="H110" s="495">
        <f>+SUM(H82:H108)</f>
        <v>779382</v>
      </c>
      <c r="I110" s="476"/>
      <c r="J110" s="478"/>
    </row>
    <row r="111" spans="1:10">
      <c r="A111" t="str">
        <f t="shared" si="6"/>
        <v/>
      </c>
      <c r="E111" s="472"/>
      <c r="F111" s="472" t="s">
        <v>250</v>
      </c>
      <c r="G111" s="473"/>
      <c r="H111" s="506"/>
      <c r="I111" s="476"/>
      <c r="J111" s="478"/>
    </row>
    <row r="112" spans="1:10">
      <c r="A112" t="str">
        <f t="shared" si="6"/>
        <v>4002310</v>
      </c>
      <c r="B112">
        <v>108</v>
      </c>
      <c r="C112">
        <v>2310</v>
      </c>
      <c r="D112" s="509" cm="1">
        <f t="array" ref="D112">INDEX('Form A Mapping'!C:C, MATCH(1, (C112 &gt;= 'Form A Mapping'!A:A) * (C112 &lt;= 'Form A Mapping'!B:B), 0))</f>
        <v>15</v>
      </c>
      <c r="E112" s="472"/>
      <c r="F112" s="472"/>
      <c r="G112" s="473" t="s">
        <v>379</v>
      </c>
      <c r="H112" s="506">
        <v>30000</v>
      </c>
      <c r="I112" s="476">
        <f t="shared" si="5"/>
        <v>30000</v>
      </c>
      <c r="J112" s="478"/>
    </row>
    <row r="113" spans="1:10">
      <c r="A113" t="str">
        <f t="shared" si="6"/>
        <v>4002310</v>
      </c>
      <c r="B113">
        <v>108</v>
      </c>
      <c r="C113">
        <v>2310</v>
      </c>
      <c r="D113" s="509" cm="1">
        <f t="array" ref="D113">INDEX('Form A Mapping'!C:C, MATCH(1, (C113 &gt;= 'Form A Mapping'!A:A) * (C113 &lt;= 'Form A Mapping'!B:B), 0))</f>
        <v>15</v>
      </c>
      <c r="E113" s="472"/>
      <c r="F113" s="472"/>
      <c r="G113" s="473" t="s">
        <v>380</v>
      </c>
      <c r="H113" s="506"/>
      <c r="I113" s="476">
        <f t="shared" si="5"/>
        <v>0</v>
      </c>
      <c r="J113" s="478"/>
    </row>
    <row r="114" spans="1:10">
      <c r="A114" t="str">
        <f t="shared" si="6"/>
        <v>4002660</v>
      </c>
      <c r="B114">
        <v>108</v>
      </c>
      <c r="C114">
        <v>2660</v>
      </c>
      <c r="D114" s="509" cm="1">
        <f t="array" ref="D114">INDEX('Form A Mapping'!C:C, MATCH(1, (C114 &gt;= 'Form A Mapping'!A:A) * (C114 &lt;= 'Form A Mapping'!B:B), 0))</f>
        <v>18</v>
      </c>
      <c r="E114" s="472"/>
      <c r="F114" s="472"/>
      <c r="G114" s="473" t="s">
        <v>381</v>
      </c>
      <c r="H114" s="506">
        <v>21061</v>
      </c>
      <c r="I114" s="476">
        <f t="shared" si="5"/>
        <v>21061</v>
      </c>
      <c r="J114" s="478"/>
    </row>
    <row r="115" spans="1:10">
      <c r="A115" t="str">
        <f t="shared" si="6"/>
        <v>4002660</v>
      </c>
      <c r="B115">
        <v>108</v>
      </c>
      <c r="C115">
        <v>2660</v>
      </c>
      <c r="D115" s="509" cm="1">
        <f t="array" ref="D115">INDEX('Form A Mapping'!C:C, MATCH(1, (C115 &gt;= 'Form A Mapping'!A:A) * (C115 &lt;= 'Form A Mapping'!B:B), 0))</f>
        <v>18</v>
      </c>
      <c r="E115" s="472"/>
      <c r="F115" s="472"/>
      <c r="G115" s="473" t="s">
        <v>382</v>
      </c>
      <c r="H115" s="506"/>
      <c r="I115" s="476">
        <f t="shared" si="5"/>
        <v>0</v>
      </c>
      <c r="J115" s="478"/>
    </row>
    <row r="116" spans="1:10">
      <c r="A116" t="str">
        <f t="shared" si="6"/>
        <v>4112620</v>
      </c>
      <c r="B116">
        <v>104</v>
      </c>
      <c r="C116">
        <v>2620</v>
      </c>
      <c r="D116" s="509" cm="1">
        <f t="array" ref="D116">INDEX('Form A Mapping'!C:C, MATCH(1, (C116 &gt;= 'Form A Mapping'!A:A) * (C116 &lt;= 'Form A Mapping'!B:B), 0))</f>
        <v>18</v>
      </c>
      <c r="E116" s="472"/>
      <c r="F116" s="472"/>
      <c r="G116" s="473" t="s">
        <v>383</v>
      </c>
      <c r="H116" s="506">
        <v>24500</v>
      </c>
      <c r="I116" s="476">
        <f t="shared" si="5"/>
        <v>24500</v>
      </c>
      <c r="J116" s="478"/>
    </row>
    <row r="117" spans="1:10">
      <c r="A117" t="str">
        <f t="shared" si="6"/>
        <v>4112620</v>
      </c>
      <c r="B117">
        <v>104</v>
      </c>
      <c r="C117">
        <v>2620</v>
      </c>
      <c r="D117" s="509" cm="1">
        <f t="array" ref="D117">INDEX('Form A Mapping'!C:C, MATCH(1, (C117 &gt;= 'Form A Mapping'!A:A) * (C117 &lt;= 'Form A Mapping'!B:B), 0))</f>
        <v>18</v>
      </c>
      <c r="E117" s="472"/>
      <c r="F117" s="472"/>
      <c r="G117" s="473" t="s">
        <v>384</v>
      </c>
      <c r="H117" s="506"/>
      <c r="I117" s="476">
        <f t="shared" si="5"/>
        <v>0</v>
      </c>
      <c r="J117" s="478"/>
    </row>
    <row r="118" spans="1:10">
      <c r="A118" t="str">
        <f t="shared" si="6"/>
        <v>4212620</v>
      </c>
      <c r="B118">
        <v>108</v>
      </c>
      <c r="C118">
        <v>2620</v>
      </c>
      <c r="D118" s="509" cm="1">
        <f t="array" ref="D118">INDEX('Form A Mapping'!C:C, MATCH(1, (C118 &gt;= 'Form A Mapping'!A:A) * (C118 &lt;= 'Form A Mapping'!B:B), 0))</f>
        <v>18</v>
      </c>
      <c r="E118" s="472"/>
      <c r="F118" s="472"/>
      <c r="G118" s="473" t="s">
        <v>385</v>
      </c>
      <c r="H118" s="506">
        <v>12039</v>
      </c>
      <c r="I118" s="476">
        <f t="shared" si="5"/>
        <v>12039</v>
      </c>
      <c r="J118" s="478"/>
    </row>
    <row r="119" spans="1:10">
      <c r="A119" t="str">
        <f t="shared" si="6"/>
        <v>4212620</v>
      </c>
      <c r="B119">
        <v>108</v>
      </c>
      <c r="C119">
        <v>2620</v>
      </c>
      <c r="D119" s="509" cm="1">
        <f t="array" ref="D119">INDEX('Form A Mapping'!C:C, MATCH(1, (C119 &gt;= 'Form A Mapping'!A:A) * (C119 &lt;= 'Form A Mapping'!B:B), 0))</f>
        <v>18</v>
      </c>
      <c r="E119" s="472"/>
      <c r="F119" s="472"/>
      <c r="G119" s="473" t="s">
        <v>386</v>
      </c>
      <c r="H119" s="506"/>
      <c r="I119" s="476">
        <f t="shared" si="5"/>
        <v>0</v>
      </c>
      <c r="J119" s="478"/>
    </row>
    <row r="120" spans="1:10">
      <c r="A120" t="str">
        <f t="shared" si="6"/>
        <v>4242630</v>
      </c>
      <c r="B120">
        <v>108</v>
      </c>
      <c r="C120">
        <v>2630</v>
      </c>
      <c r="D120" s="509" cm="1">
        <f t="array" ref="D120">INDEX('Form A Mapping'!C:C, MATCH(1, (C120 &gt;= 'Form A Mapping'!A:A) * (C120 &lt;= 'Form A Mapping'!B:B), 0))</f>
        <v>18</v>
      </c>
      <c r="E120" s="472"/>
      <c r="F120" s="472"/>
      <c r="G120" s="473" t="s">
        <v>387</v>
      </c>
      <c r="H120" s="506">
        <v>15000</v>
      </c>
      <c r="I120" s="476">
        <f t="shared" si="5"/>
        <v>15000</v>
      </c>
      <c r="J120" s="478"/>
    </row>
    <row r="121" spans="1:10">
      <c r="A121" t="str">
        <f t="shared" si="6"/>
        <v>4242630</v>
      </c>
      <c r="B121">
        <v>108</v>
      </c>
      <c r="C121">
        <v>2630</v>
      </c>
      <c r="D121" s="509" cm="1">
        <f t="array" ref="D121">INDEX('Form A Mapping'!C:C, MATCH(1, (C121 &gt;= 'Form A Mapping'!A:A) * (C121 &lt;= 'Form A Mapping'!B:B), 0))</f>
        <v>18</v>
      </c>
      <c r="E121" s="472"/>
      <c r="F121" s="472"/>
      <c r="G121" s="473" t="s">
        <v>388</v>
      </c>
      <c r="H121" s="506"/>
      <c r="I121" s="476">
        <f t="shared" si="5"/>
        <v>0</v>
      </c>
      <c r="J121" s="478"/>
    </row>
    <row r="122" spans="1:10">
      <c r="A122" t="str">
        <f t="shared" si="6"/>
        <v>4302620</v>
      </c>
      <c r="B122">
        <v>107</v>
      </c>
      <c r="C122">
        <v>2620</v>
      </c>
      <c r="D122" s="509" cm="1">
        <f t="array" ref="D122">INDEX('Form A Mapping'!C:C, MATCH(1, (C122 &gt;= 'Form A Mapping'!A:A) * (C122 &lt;= 'Form A Mapping'!B:B), 0))</f>
        <v>18</v>
      </c>
      <c r="E122" s="472"/>
      <c r="F122" s="472"/>
      <c r="G122" s="473" t="s">
        <v>389</v>
      </c>
      <c r="H122" s="506">
        <v>81000</v>
      </c>
      <c r="I122" s="476">
        <f t="shared" si="5"/>
        <v>81000</v>
      </c>
      <c r="J122" s="478"/>
    </row>
    <row r="123" spans="1:10">
      <c r="A123" t="str">
        <f t="shared" si="6"/>
        <v>4302620</v>
      </c>
      <c r="B123">
        <v>107</v>
      </c>
      <c r="C123">
        <v>2620</v>
      </c>
      <c r="D123" s="509" cm="1">
        <f t="array" ref="D123">INDEX('Form A Mapping'!C:C, MATCH(1, (C123 &gt;= 'Form A Mapping'!A:A) * (C123 &lt;= 'Form A Mapping'!B:B), 0))</f>
        <v>18</v>
      </c>
      <c r="E123" s="472"/>
      <c r="F123" s="472"/>
      <c r="G123" s="473" t="s">
        <v>390</v>
      </c>
      <c r="H123" s="506"/>
      <c r="I123" s="476">
        <f t="shared" si="5"/>
        <v>0</v>
      </c>
      <c r="J123" s="478"/>
    </row>
    <row r="124" spans="1:10">
      <c r="A124" t="str">
        <f t="shared" si="6"/>
        <v>4422400</v>
      </c>
      <c r="B124">
        <v>106</v>
      </c>
      <c r="C124">
        <v>2400</v>
      </c>
      <c r="D124" s="509" cm="1">
        <f t="array" ref="D124">INDEX('Form A Mapping'!C:C, MATCH(1, (C124 &gt;= 'Form A Mapping'!A:A) * (C124 &lt;= 'Form A Mapping'!B:B), 0))</f>
        <v>16</v>
      </c>
      <c r="E124" s="472"/>
      <c r="F124" s="472"/>
      <c r="G124" s="473" t="s">
        <v>391</v>
      </c>
      <c r="H124" s="506">
        <v>22070</v>
      </c>
      <c r="I124" s="476">
        <f t="shared" si="5"/>
        <v>22070</v>
      </c>
      <c r="J124" s="478"/>
    </row>
    <row r="125" spans="1:10">
      <c r="A125" t="str">
        <f t="shared" si="6"/>
        <v>4422400</v>
      </c>
      <c r="B125">
        <v>106</v>
      </c>
      <c r="C125">
        <v>2400</v>
      </c>
      <c r="D125" s="509" cm="1">
        <f t="array" ref="D125">INDEX('Form A Mapping'!C:C, MATCH(1, (C125 &gt;= 'Form A Mapping'!A:A) * (C125 &lt;= 'Form A Mapping'!B:B), 0))</f>
        <v>16</v>
      </c>
      <c r="E125" s="472"/>
      <c r="F125" s="472"/>
      <c r="G125" s="473" t="s">
        <v>392</v>
      </c>
      <c r="H125" s="506"/>
      <c r="I125" s="476">
        <f t="shared" si="5"/>
        <v>0</v>
      </c>
      <c r="J125" s="478"/>
    </row>
    <row r="126" spans="1:10">
      <c r="A126" t="str">
        <f t="shared" si="6"/>
        <v>Purchas</v>
      </c>
      <c r="E126" s="472"/>
      <c r="F126" s="472"/>
      <c r="G126" s="479" t="s">
        <v>251</v>
      </c>
      <c r="H126" s="495">
        <f>SUM(H112:H125)</f>
        <v>205670</v>
      </c>
      <c r="I126" s="476"/>
      <c r="J126" s="478"/>
    </row>
    <row r="127" spans="1:10">
      <c r="A127" t="str">
        <f t="shared" si="6"/>
        <v/>
      </c>
      <c r="E127" s="472"/>
      <c r="F127" s="472" t="s">
        <v>252</v>
      </c>
      <c r="G127" s="473"/>
      <c r="H127" s="506"/>
      <c r="I127" s="476"/>
      <c r="J127" s="478"/>
    </row>
    <row r="128" spans="1:10">
      <c r="A128" t="str">
        <f t="shared" si="6"/>
        <v>5001100</v>
      </c>
      <c r="B128">
        <v>119</v>
      </c>
      <c r="C128">
        <v>1100</v>
      </c>
      <c r="D128" s="509" cm="1">
        <f t="array" ref="D128">INDEX('Form A Mapping'!C:C, MATCH(1, (C128 &gt;= 'Form A Mapping'!A:A) * (C128 &lt;= 'Form A Mapping'!B:B), 0))</f>
        <v>7</v>
      </c>
      <c r="E128" s="472"/>
      <c r="F128" s="472"/>
      <c r="G128" s="473" t="s">
        <v>393</v>
      </c>
      <c r="H128" s="506">
        <v>26250</v>
      </c>
      <c r="I128" s="476">
        <f t="shared" si="5"/>
        <v>26250</v>
      </c>
      <c r="J128" s="478"/>
    </row>
    <row r="129" spans="1:10">
      <c r="A129" t="str">
        <f t="shared" si="6"/>
        <v>5001100</v>
      </c>
      <c r="B129">
        <v>119</v>
      </c>
      <c r="C129">
        <v>1100</v>
      </c>
      <c r="D129" s="509" cm="1">
        <f t="array" ref="D129">INDEX('Form A Mapping'!C:C, MATCH(1, (C129 &gt;= 'Form A Mapping'!A:A) * (C129 &lt;= 'Form A Mapping'!B:B), 0))</f>
        <v>7</v>
      </c>
      <c r="E129" s="472"/>
      <c r="F129" s="472"/>
      <c r="G129" s="473" t="s">
        <v>394</v>
      </c>
      <c r="H129" s="506"/>
      <c r="I129" s="476">
        <f t="shared" si="5"/>
        <v>0</v>
      </c>
      <c r="J129" s="478"/>
    </row>
    <row r="130" spans="1:10">
      <c r="A130" t="str">
        <f t="shared" si="6"/>
        <v>5002720</v>
      </c>
      <c r="B130">
        <v>111</v>
      </c>
      <c r="C130">
        <v>2720</v>
      </c>
      <c r="D130" s="509" cm="1">
        <f t="array" ref="D130">INDEX('Form A Mapping'!C:C, MATCH(1, (C130 &gt;= 'Form A Mapping'!A:A) * (C130 &lt;= 'Form A Mapping'!B:B), 0))</f>
        <v>19</v>
      </c>
      <c r="E130" s="472"/>
      <c r="F130" s="472"/>
      <c r="G130" s="473" t="s">
        <v>395</v>
      </c>
      <c r="H130" s="506">
        <v>351360</v>
      </c>
      <c r="I130" s="476">
        <f t="shared" si="5"/>
        <v>301360</v>
      </c>
      <c r="J130" s="478">
        <v>50000</v>
      </c>
    </row>
    <row r="131" spans="1:10">
      <c r="A131" t="str">
        <f t="shared" si="6"/>
        <v>5002720</v>
      </c>
      <c r="B131">
        <v>111</v>
      </c>
      <c r="C131">
        <v>2720</v>
      </c>
      <c r="D131" s="509" cm="1">
        <f t="array" ref="D131">INDEX('Form A Mapping'!C:C, MATCH(1, (C131 &gt;= 'Form A Mapping'!A:A) * (C131 &lt;= 'Form A Mapping'!B:B), 0))</f>
        <v>19</v>
      </c>
      <c r="E131" s="472"/>
      <c r="F131" s="472"/>
      <c r="G131" s="473" t="s">
        <v>396</v>
      </c>
      <c r="H131" s="506"/>
      <c r="I131" s="476">
        <f t="shared" si="5"/>
        <v>0</v>
      </c>
      <c r="J131" s="478"/>
    </row>
    <row r="132" spans="1:10">
      <c r="A132" t="str">
        <f t="shared" ref="A132:A163" si="7">LEFT(G132, 7)</f>
        <v>5212310</v>
      </c>
      <c r="B132">
        <v>113</v>
      </c>
      <c r="C132">
        <v>2310</v>
      </c>
      <c r="D132" s="509" cm="1">
        <f t="array" ref="D132">INDEX('Form A Mapping'!C:C, MATCH(1, (C132 &gt;= 'Form A Mapping'!A:A) * (C132 &lt;= 'Form A Mapping'!B:B), 0))</f>
        <v>15</v>
      </c>
      <c r="E132" s="472"/>
      <c r="F132" s="472"/>
      <c r="G132" s="473" t="s">
        <v>397</v>
      </c>
      <c r="H132" s="506">
        <v>51000</v>
      </c>
      <c r="I132" s="476">
        <f t="shared" si="5"/>
        <v>51000</v>
      </c>
      <c r="J132" s="478"/>
    </row>
    <row r="133" spans="1:10">
      <c r="A133" t="str">
        <f t="shared" si="7"/>
        <v>5212310</v>
      </c>
      <c r="B133">
        <v>113</v>
      </c>
      <c r="C133">
        <v>2310</v>
      </c>
      <c r="D133" s="509" cm="1">
        <f t="array" ref="D133">INDEX('Form A Mapping'!C:C, MATCH(1, (C133 &gt;= 'Form A Mapping'!A:A) * (C133 &lt;= 'Form A Mapping'!B:B), 0))</f>
        <v>15</v>
      </c>
      <c r="E133" s="472"/>
      <c r="F133" s="472"/>
      <c r="G133" s="473" t="s">
        <v>398</v>
      </c>
      <c r="H133" s="506"/>
      <c r="I133" s="476">
        <f t="shared" ref="I133:I168" si="8">H133-J133</f>
        <v>0</v>
      </c>
      <c r="J133" s="478"/>
    </row>
    <row r="134" spans="1:10">
      <c r="A134" t="str">
        <f t="shared" si="7"/>
        <v>5222620</v>
      </c>
      <c r="B134">
        <v>112</v>
      </c>
      <c r="C134">
        <v>2620</v>
      </c>
      <c r="D134" s="509" cm="1">
        <f t="array" ref="D134">INDEX('Form A Mapping'!C:C, MATCH(1, (C134 &gt;= 'Form A Mapping'!A:A) * (C134 &lt;= 'Form A Mapping'!B:B), 0))</f>
        <v>18</v>
      </c>
      <c r="E134" s="472"/>
      <c r="F134" s="472"/>
      <c r="G134" s="473" t="s">
        <v>399</v>
      </c>
      <c r="H134" s="506">
        <v>26650</v>
      </c>
      <c r="I134" s="476">
        <f t="shared" si="8"/>
        <v>26650</v>
      </c>
      <c r="J134" s="478"/>
    </row>
    <row r="135" spans="1:10">
      <c r="A135" t="str">
        <f t="shared" si="7"/>
        <v>5302400</v>
      </c>
      <c r="B135">
        <v>119</v>
      </c>
      <c r="C135">
        <v>2400</v>
      </c>
      <c r="D135" s="509">
        <v>16</v>
      </c>
      <c r="E135" s="472"/>
      <c r="F135" s="472"/>
      <c r="G135" s="473" t="s">
        <v>400</v>
      </c>
      <c r="H135" s="506">
        <v>76382.518717202795</v>
      </c>
      <c r="I135" s="476">
        <f t="shared" si="8"/>
        <v>26382.518717202795</v>
      </c>
      <c r="J135" s="478">
        <v>50000</v>
      </c>
    </row>
    <row r="136" spans="1:10">
      <c r="A136" t="str">
        <f t="shared" si="7"/>
        <v>5302400</v>
      </c>
      <c r="B136">
        <v>119</v>
      </c>
      <c r="C136">
        <v>2400</v>
      </c>
      <c r="D136" s="509" cm="1">
        <f t="array" ref="D136">INDEX('Form A Mapping'!C:C, MATCH(1, (C136 &gt;= 'Form A Mapping'!A:A) * (C136 &lt;= 'Form A Mapping'!B:B), 0))</f>
        <v>16</v>
      </c>
      <c r="E136" s="472"/>
      <c r="F136" s="472"/>
      <c r="G136" s="473" t="s">
        <v>401</v>
      </c>
      <c r="H136" s="506"/>
      <c r="I136" s="476">
        <f t="shared" si="8"/>
        <v>0</v>
      </c>
      <c r="J136" s="478"/>
    </row>
    <row r="137" spans="1:10">
      <c r="A137" t="str">
        <f t="shared" si="7"/>
        <v>5703100</v>
      </c>
      <c r="B137">
        <v>117</v>
      </c>
      <c r="C137">
        <v>3100</v>
      </c>
      <c r="D137" s="509" cm="1">
        <f t="array" ref="D137">INDEX('Form A Mapping'!C:C, MATCH(1, (C137 &gt;= 'Form A Mapping'!A:A) * (C137 &lt;= 'Form A Mapping'!B:B), 0))</f>
        <v>21</v>
      </c>
      <c r="E137" s="472"/>
      <c r="F137" s="472"/>
      <c r="G137" s="473" t="s">
        <v>402</v>
      </c>
      <c r="H137" s="506">
        <v>267500</v>
      </c>
      <c r="I137" s="476">
        <f t="shared" si="8"/>
        <v>267500</v>
      </c>
      <c r="J137" s="478"/>
    </row>
    <row r="138" spans="1:10">
      <c r="A138" t="str">
        <f t="shared" si="7"/>
        <v>5703100</v>
      </c>
      <c r="B138">
        <v>117</v>
      </c>
      <c r="C138">
        <v>3100</v>
      </c>
      <c r="D138" s="509" cm="1">
        <f t="array" ref="D138">INDEX('Form A Mapping'!C:C, MATCH(1, (C138 &gt;= 'Form A Mapping'!A:A) * (C138 &lt;= 'Form A Mapping'!B:B), 0))</f>
        <v>21</v>
      </c>
      <c r="E138" s="472"/>
      <c r="F138" s="472"/>
      <c r="G138" s="473" t="s">
        <v>403</v>
      </c>
      <c r="H138" s="506"/>
      <c r="I138" s="476">
        <f t="shared" si="8"/>
        <v>0</v>
      </c>
      <c r="J138" s="481">
        <f>H138</f>
        <v>0</v>
      </c>
    </row>
    <row r="139" spans="1:10">
      <c r="A139" t="str">
        <f t="shared" si="7"/>
        <v>5822220</v>
      </c>
      <c r="B139">
        <v>118</v>
      </c>
      <c r="C139">
        <v>2220</v>
      </c>
      <c r="D139" s="509" cm="1">
        <f t="array" ref="D139">INDEX('Form A Mapping'!C:C, MATCH(1, (C139 &gt;= 'Form A Mapping'!A:A) * (C139 &lt;= 'Form A Mapping'!B:B), 0))</f>
        <v>14</v>
      </c>
      <c r="E139" s="472"/>
      <c r="F139" s="472"/>
      <c r="G139" s="473" t="s">
        <v>404</v>
      </c>
      <c r="H139" s="506">
        <v>15000</v>
      </c>
      <c r="I139" s="476">
        <f t="shared" si="8"/>
        <v>15000</v>
      </c>
      <c r="J139" s="478"/>
    </row>
    <row r="140" spans="1:10">
      <c r="A140" t="str">
        <f t="shared" si="7"/>
        <v>5822220</v>
      </c>
      <c r="B140">
        <v>118</v>
      </c>
      <c r="C140">
        <v>2220</v>
      </c>
      <c r="D140" s="509" cm="1">
        <f t="array" ref="D140">INDEX('Form A Mapping'!C:C, MATCH(1, (C140 &gt;= 'Form A Mapping'!A:A) * (C140 &lt;= 'Form A Mapping'!B:B), 0))</f>
        <v>14</v>
      </c>
      <c r="E140" s="472"/>
      <c r="F140" s="472"/>
      <c r="G140" s="473" t="s">
        <v>405</v>
      </c>
      <c r="H140" s="506"/>
      <c r="I140" s="476">
        <f t="shared" si="8"/>
        <v>0</v>
      </c>
      <c r="J140" s="478"/>
    </row>
    <row r="141" spans="1:10">
      <c r="A141" t="str">
        <f t="shared" si="7"/>
        <v>5822400</v>
      </c>
      <c r="B141">
        <v>118</v>
      </c>
      <c r="C141">
        <v>2400</v>
      </c>
      <c r="D141" s="509" cm="1">
        <f t="array" ref="D141">INDEX('Form A Mapping'!C:C, MATCH(1, (C141 &gt;= 'Form A Mapping'!A:A) * (C141 &lt;= 'Form A Mapping'!B:B), 0))</f>
        <v>16</v>
      </c>
      <c r="E141" s="472"/>
      <c r="F141" s="472"/>
      <c r="G141" s="473" t="s">
        <v>406</v>
      </c>
      <c r="H141" s="506">
        <v>5000</v>
      </c>
      <c r="I141" s="476">
        <f t="shared" si="8"/>
        <v>5000</v>
      </c>
      <c r="J141" s="478"/>
    </row>
    <row r="142" spans="1:10">
      <c r="A142" t="str">
        <f t="shared" si="7"/>
        <v>5822400</v>
      </c>
      <c r="B142">
        <v>118</v>
      </c>
      <c r="C142">
        <v>2400</v>
      </c>
      <c r="D142" s="509" cm="1">
        <f t="array" ref="D142">INDEX('Form A Mapping'!C:C, MATCH(1, (C142 &gt;= 'Form A Mapping'!A:A) * (C142 &lt;= 'Form A Mapping'!B:B), 0))</f>
        <v>16</v>
      </c>
      <c r="E142" s="472"/>
      <c r="F142" s="472"/>
      <c r="G142" s="473" t="s">
        <v>407</v>
      </c>
      <c r="H142" s="506"/>
      <c r="I142" s="476">
        <f t="shared" si="8"/>
        <v>0</v>
      </c>
      <c r="J142" s="478"/>
    </row>
    <row r="143" spans="1:10">
      <c r="A143" t="str">
        <f t="shared" si="7"/>
        <v>Other P</v>
      </c>
      <c r="E143" s="472"/>
      <c r="F143" s="472"/>
      <c r="G143" s="479" t="s">
        <v>253</v>
      </c>
      <c r="H143" s="495">
        <f>SUM(H127:H141)</f>
        <v>819142.51871720282</v>
      </c>
      <c r="I143" s="476"/>
      <c r="J143" s="478"/>
    </row>
    <row r="144" spans="1:10">
      <c r="A144" t="str">
        <f t="shared" si="7"/>
        <v/>
      </c>
      <c r="E144" s="472"/>
      <c r="F144" s="472" t="s">
        <v>254</v>
      </c>
      <c r="G144" s="473"/>
      <c r="H144" s="506"/>
      <c r="I144" s="476"/>
      <c r="J144" s="478"/>
    </row>
    <row r="145" spans="1:10">
      <c r="A145" t="str">
        <f t="shared" si="7"/>
        <v>6101100</v>
      </c>
      <c r="B145">
        <v>122</v>
      </c>
      <c r="C145">
        <v>1100</v>
      </c>
      <c r="D145" s="509" cm="1">
        <f t="array" ref="D145">INDEX('Form A Mapping'!C:C, MATCH(1, (C145 &gt;= 'Form A Mapping'!A:A) * (C145 &lt;= 'Form A Mapping'!B:B), 0))</f>
        <v>7</v>
      </c>
      <c r="E145" s="472"/>
      <c r="F145" s="472"/>
      <c r="G145" s="473" t="s">
        <v>408</v>
      </c>
      <c r="H145" s="506">
        <v>92500</v>
      </c>
      <c r="I145" s="476">
        <f t="shared" si="8"/>
        <v>42500</v>
      </c>
      <c r="J145" s="478">
        <v>50000</v>
      </c>
    </row>
    <row r="146" spans="1:10">
      <c r="A146" t="str">
        <f t="shared" si="7"/>
        <v>6101100</v>
      </c>
      <c r="B146">
        <v>122</v>
      </c>
      <c r="C146">
        <v>1100</v>
      </c>
      <c r="D146" s="509" cm="1">
        <f t="array" ref="D146">INDEX('Form A Mapping'!C:C, MATCH(1, (C146 &gt;= 'Form A Mapping'!A:A) * (C146 &lt;= 'Form A Mapping'!B:B), 0))</f>
        <v>7</v>
      </c>
      <c r="E146" s="472"/>
      <c r="F146" s="472"/>
      <c r="G146" s="473" t="s">
        <v>409</v>
      </c>
      <c r="H146" s="506"/>
      <c r="I146" s="476">
        <f t="shared" si="8"/>
        <v>0</v>
      </c>
      <c r="J146" s="478"/>
    </row>
    <row r="147" spans="1:10">
      <c r="A147" t="str">
        <f t="shared" si="7"/>
        <v>6101210</v>
      </c>
      <c r="B147">
        <v>122</v>
      </c>
      <c r="C147">
        <v>1210</v>
      </c>
      <c r="D147" s="509" cm="1">
        <f t="array" ref="D147">INDEX('Form A Mapping'!C:C, MATCH(1, (C147 &gt;= 'Form A Mapping'!A:A) * (C147 &lt;= 'Form A Mapping'!B:B), 0))</f>
        <v>8</v>
      </c>
      <c r="E147" s="472"/>
      <c r="F147" s="472"/>
      <c r="G147" s="473" t="s">
        <v>410</v>
      </c>
      <c r="H147" s="506">
        <v>3500</v>
      </c>
      <c r="I147" s="476">
        <f t="shared" si="8"/>
        <v>3500</v>
      </c>
      <c r="J147" s="478"/>
    </row>
    <row r="148" spans="1:10">
      <c r="A148" t="str">
        <f t="shared" si="7"/>
        <v>6101210</v>
      </c>
      <c r="B148">
        <v>122</v>
      </c>
      <c r="C148">
        <v>1210</v>
      </c>
      <c r="D148" s="509" cm="1">
        <f t="array" ref="D148">INDEX('Form A Mapping'!C:C, MATCH(1, (C148 &gt;= 'Form A Mapping'!A:A) * (C148 &lt;= 'Form A Mapping'!B:B), 0))</f>
        <v>8</v>
      </c>
      <c r="E148" s="472"/>
      <c r="F148" s="472"/>
      <c r="G148" s="473" t="s">
        <v>411</v>
      </c>
      <c r="H148" s="506"/>
      <c r="I148" s="476">
        <f t="shared" si="8"/>
        <v>0</v>
      </c>
      <c r="J148" s="478"/>
    </row>
    <row r="149" spans="1:10">
      <c r="A149" t="str">
        <f t="shared" si="7"/>
        <v>6101420</v>
      </c>
      <c r="B149">
        <v>122</v>
      </c>
      <c r="C149">
        <v>1420</v>
      </c>
      <c r="D149" s="509" cm="1">
        <f t="array" ref="D149">INDEX('Form A Mapping'!C:C, MATCH(1, (C149 &gt;= 'Form A Mapping'!A:A) * (C149 &lt;= 'Form A Mapping'!B:B), 0))</f>
        <v>10</v>
      </c>
      <c r="E149" s="472"/>
      <c r="F149" s="472"/>
      <c r="G149" s="473" t="s">
        <v>412</v>
      </c>
      <c r="H149" s="506">
        <v>5000</v>
      </c>
      <c r="I149" s="476">
        <f t="shared" si="8"/>
        <v>5000</v>
      </c>
      <c r="J149" s="478"/>
    </row>
    <row r="150" spans="1:10">
      <c r="A150" t="str">
        <f t="shared" si="7"/>
        <v>6101420</v>
      </c>
      <c r="B150">
        <v>122</v>
      </c>
      <c r="C150">
        <v>1420</v>
      </c>
      <c r="D150" s="509" cm="1">
        <f t="array" ref="D150">INDEX('Form A Mapping'!C:C, MATCH(1, (C150 &gt;= 'Form A Mapping'!A:A) * (C150 &lt;= 'Form A Mapping'!B:B), 0))</f>
        <v>10</v>
      </c>
      <c r="E150" s="472"/>
      <c r="F150" s="472"/>
      <c r="G150" s="473" t="s">
        <v>413</v>
      </c>
      <c r="H150" s="506"/>
      <c r="I150" s="476">
        <f t="shared" si="8"/>
        <v>0</v>
      </c>
      <c r="J150" s="478"/>
    </row>
    <row r="151" spans="1:10">
      <c r="A151" t="str">
        <f t="shared" si="7"/>
        <v>6102211</v>
      </c>
      <c r="B151">
        <v>122</v>
      </c>
      <c r="C151">
        <v>2211</v>
      </c>
      <c r="D151" s="509" cm="1">
        <f t="array" ref="D151">INDEX('Form A Mapping'!C:C, MATCH(1, (C151 &gt;= 'Form A Mapping'!A:A) * (C151 &lt;= 'Form A Mapping'!B:B), 0))</f>
        <v>14</v>
      </c>
      <c r="E151" s="472"/>
      <c r="F151" s="472"/>
      <c r="G151" s="473" t="s">
        <v>414</v>
      </c>
      <c r="H151" s="506">
        <v>27000</v>
      </c>
      <c r="I151" s="476">
        <f t="shared" si="8"/>
        <v>27000</v>
      </c>
      <c r="J151" s="478"/>
    </row>
    <row r="152" spans="1:10">
      <c r="A152" t="str">
        <f t="shared" si="7"/>
        <v>6102211</v>
      </c>
      <c r="B152">
        <v>122</v>
      </c>
      <c r="C152">
        <v>2211</v>
      </c>
      <c r="D152" s="509" cm="1">
        <f t="array" ref="D152">INDEX('Form A Mapping'!C:C, MATCH(1, (C152 &gt;= 'Form A Mapping'!A:A) * (C152 &lt;= 'Form A Mapping'!B:B), 0))</f>
        <v>14</v>
      </c>
      <c r="E152" s="472"/>
      <c r="F152" s="472"/>
      <c r="G152" s="473" t="s">
        <v>415</v>
      </c>
      <c r="H152" s="506"/>
      <c r="I152" s="476">
        <f t="shared" si="8"/>
        <v>0</v>
      </c>
      <c r="J152" s="478"/>
    </row>
    <row r="153" spans="1:10">
      <c r="A153" t="str">
        <f t="shared" si="7"/>
        <v>6102400</v>
      </c>
      <c r="B153">
        <v>122</v>
      </c>
      <c r="C153">
        <v>2400</v>
      </c>
      <c r="D153" s="509" cm="1">
        <f t="array" ref="D153">INDEX('Form A Mapping'!C:C, MATCH(1, (C153 &gt;= 'Form A Mapping'!A:A) * (C153 &lt;= 'Form A Mapping'!B:B), 0))</f>
        <v>16</v>
      </c>
      <c r="E153" s="472"/>
      <c r="F153" s="472"/>
      <c r="G153" s="473" t="s">
        <v>416</v>
      </c>
      <c r="H153" s="506">
        <v>34500</v>
      </c>
      <c r="I153" s="476">
        <f t="shared" si="8"/>
        <v>34500</v>
      </c>
      <c r="J153" s="478"/>
    </row>
    <row r="154" spans="1:10">
      <c r="A154" t="str">
        <f t="shared" si="7"/>
        <v>6102400</v>
      </c>
      <c r="B154">
        <v>122</v>
      </c>
      <c r="C154">
        <v>2400</v>
      </c>
      <c r="D154" s="509" cm="1">
        <f t="array" ref="D154">INDEX('Form A Mapping'!C:C, MATCH(1, (C154 &gt;= 'Form A Mapping'!A:A) * (C154 &lt;= 'Form A Mapping'!B:B), 0))</f>
        <v>16</v>
      </c>
      <c r="E154" s="472"/>
      <c r="F154" s="472"/>
      <c r="G154" s="473" t="s">
        <v>417</v>
      </c>
      <c r="H154" s="506"/>
      <c r="I154" s="476">
        <f t="shared" si="8"/>
        <v>0</v>
      </c>
      <c r="J154" s="478"/>
    </row>
    <row r="155" spans="1:10">
      <c r="A155" t="str">
        <f t="shared" si="7"/>
        <v>6102620</v>
      </c>
      <c r="B155">
        <v>122</v>
      </c>
      <c r="C155">
        <v>2620</v>
      </c>
      <c r="D155" s="509" cm="1">
        <f t="array" ref="D155">INDEX('Form A Mapping'!C:C, MATCH(1, (C155 &gt;= 'Form A Mapping'!A:A) * (C155 &lt;= 'Form A Mapping'!B:B), 0))</f>
        <v>18</v>
      </c>
      <c r="E155" s="472"/>
      <c r="F155" s="472"/>
      <c r="G155" s="473" t="s">
        <v>418</v>
      </c>
      <c r="H155" s="506">
        <v>26250</v>
      </c>
      <c r="I155" s="476">
        <f t="shared" si="8"/>
        <v>26250</v>
      </c>
      <c r="J155" s="478"/>
    </row>
    <row r="156" spans="1:10">
      <c r="A156" t="str">
        <f t="shared" si="7"/>
        <v>6102620</v>
      </c>
      <c r="B156">
        <v>122</v>
      </c>
      <c r="C156">
        <v>2620</v>
      </c>
      <c r="D156" s="509" cm="1">
        <f t="array" ref="D156">INDEX('Form A Mapping'!C:C, MATCH(1, (C156 &gt;= 'Form A Mapping'!A:A) * (C156 &lt;= 'Form A Mapping'!B:B), 0))</f>
        <v>18</v>
      </c>
      <c r="E156" s="472"/>
      <c r="F156" s="472"/>
      <c r="G156" s="473" t="s">
        <v>419</v>
      </c>
      <c r="H156" s="506"/>
      <c r="I156" s="476">
        <f t="shared" si="8"/>
        <v>0</v>
      </c>
      <c r="J156" s="478"/>
    </row>
    <row r="157" spans="1:10">
      <c r="A157" t="str">
        <f t="shared" si="7"/>
        <v>6151100</v>
      </c>
      <c r="B157">
        <v>126</v>
      </c>
      <c r="C157">
        <v>1100</v>
      </c>
      <c r="D157" s="509" cm="1">
        <f t="array" ref="D157">INDEX('Form A Mapping'!C:C, MATCH(1, (C157 &gt;= 'Form A Mapping'!A:A) * (C157 &lt;= 'Form A Mapping'!B:B), 0))</f>
        <v>7</v>
      </c>
      <c r="E157" s="472"/>
      <c r="F157" s="472"/>
      <c r="G157" s="473" t="s">
        <v>420</v>
      </c>
      <c r="H157" s="506">
        <v>43750</v>
      </c>
      <c r="I157" s="476">
        <f t="shared" si="8"/>
        <v>43750</v>
      </c>
      <c r="J157" s="478"/>
    </row>
    <row r="158" spans="1:10">
      <c r="A158" t="str">
        <f t="shared" si="7"/>
        <v>6151100</v>
      </c>
      <c r="B158">
        <v>126</v>
      </c>
      <c r="C158">
        <v>1100</v>
      </c>
      <c r="D158" s="509" cm="1">
        <f t="array" ref="D158">INDEX('Form A Mapping'!C:C, MATCH(1, (C158 &gt;= 'Form A Mapping'!A:A) * (C158 &lt;= 'Form A Mapping'!B:B), 0))</f>
        <v>7</v>
      </c>
      <c r="E158" s="472"/>
      <c r="F158" s="472"/>
      <c r="G158" s="473" t="s">
        <v>421</v>
      </c>
      <c r="H158" s="506"/>
      <c r="I158" s="476">
        <f t="shared" si="8"/>
        <v>0</v>
      </c>
      <c r="J158" s="478"/>
    </row>
    <row r="159" spans="1:10">
      <c r="A159" t="str">
        <f t="shared" si="7"/>
        <v>6152400</v>
      </c>
      <c r="B159">
        <v>126</v>
      </c>
      <c r="C159">
        <v>2400</v>
      </c>
      <c r="D159" s="509" cm="1">
        <f t="array" ref="D159">INDEX('Form A Mapping'!C:C, MATCH(1, (C159 &gt;= 'Form A Mapping'!A:A) * (C159 &lt;= 'Form A Mapping'!B:B), 0))</f>
        <v>16</v>
      </c>
      <c r="E159" s="472"/>
      <c r="F159" s="472"/>
      <c r="G159" s="473" t="s">
        <v>422</v>
      </c>
      <c r="H159" s="506">
        <v>13750</v>
      </c>
      <c r="I159" s="476">
        <f t="shared" si="8"/>
        <v>13750</v>
      </c>
      <c r="J159" s="478"/>
    </row>
    <row r="160" spans="1:10">
      <c r="A160" t="str">
        <f t="shared" si="7"/>
        <v>6152400</v>
      </c>
      <c r="B160">
        <v>126</v>
      </c>
      <c r="C160">
        <v>2400</v>
      </c>
      <c r="D160" s="509" cm="1">
        <f t="array" ref="D160">INDEX('Form A Mapping'!C:C, MATCH(1, (C160 &gt;= 'Form A Mapping'!A:A) * (C160 &lt;= 'Form A Mapping'!B:B), 0))</f>
        <v>16</v>
      </c>
      <c r="E160" s="472"/>
      <c r="F160" s="472"/>
      <c r="G160" s="473" t="s">
        <v>423</v>
      </c>
      <c r="H160" s="506"/>
      <c r="I160" s="476">
        <f t="shared" si="8"/>
        <v>0</v>
      </c>
      <c r="J160" s="478"/>
    </row>
    <row r="161" spans="1:13">
      <c r="A161" t="str">
        <f t="shared" si="7"/>
        <v>6222620</v>
      </c>
      <c r="B161">
        <v>123</v>
      </c>
      <c r="C161">
        <v>2620</v>
      </c>
      <c r="D161" s="509" cm="1">
        <f t="array" ref="D161">INDEX('Form A Mapping'!C:C, MATCH(1, (C161 &gt;= 'Form A Mapping'!A:A) * (C161 &lt;= 'Form A Mapping'!B:B), 0))</f>
        <v>18</v>
      </c>
      <c r="E161" s="472"/>
      <c r="F161" s="472"/>
      <c r="G161" s="473" t="s">
        <v>424</v>
      </c>
      <c r="H161" s="506">
        <v>112500</v>
      </c>
      <c r="I161" s="476">
        <f t="shared" si="8"/>
        <v>112500</v>
      </c>
      <c r="J161" s="478"/>
    </row>
    <row r="162" spans="1:13">
      <c r="A162" t="str">
        <f t="shared" si="7"/>
        <v>6222620</v>
      </c>
      <c r="B162">
        <v>123</v>
      </c>
      <c r="C162">
        <v>2620</v>
      </c>
      <c r="D162" s="509" cm="1">
        <f t="array" ref="D162">INDEX('Form A Mapping'!C:C, MATCH(1, (C162 &gt;= 'Form A Mapping'!A:A) * (C162 &lt;= 'Form A Mapping'!B:B), 0))</f>
        <v>18</v>
      </c>
      <c r="E162" s="472"/>
      <c r="F162" s="472"/>
      <c r="G162" s="473" t="s">
        <v>425</v>
      </c>
      <c r="H162" s="506"/>
      <c r="I162" s="476">
        <f t="shared" si="8"/>
        <v>0</v>
      </c>
      <c r="J162" s="478"/>
    </row>
    <row r="163" spans="1:13">
      <c r="A163" t="str">
        <f t="shared" si="7"/>
        <v>6421100</v>
      </c>
      <c r="B163">
        <v>125</v>
      </c>
      <c r="C163">
        <v>1100</v>
      </c>
      <c r="D163" s="509" cm="1">
        <f t="array" ref="D163">INDEX('Form A Mapping'!C:C, MATCH(1, (C163 &gt;= 'Form A Mapping'!A:A) * (C163 &lt;= 'Form A Mapping'!B:B), 0))</f>
        <v>7</v>
      </c>
      <c r="E163" s="472"/>
      <c r="F163" s="472"/>
      <c r="G163" s="473" t="s">
        <v>426</v>
      </c>
      <c r="H163" s="506">
        <v>37500</v>
      </c>
      <c r="I163" s="476">
        <f t="shared" si="8"/>
        <v>37500</v>
      </c>
      <c r="J163" s="478"/>
    </row>
    <row r="164" spans="1:13">
      <c r="A164" t="str">
        <f t="shared" ref="A164:A173" si="9">LEFT(G164, 7)</f>
        <v>6421100</v>
      </c>
      <c r="B164">
        <v>125</v>
      </c>
      <c r="C164">
        <v>1100</v>
      </c>
      <c r="D164" s="509" cm="1">
        <f t="array" ref="D164">INDEX('Form A Mapping'!C:C, MATCH(1, (C164 &gt;= 'Form A Mapping'!A:A) * (C164 &lt;= 'Form A Mapping'!B:B), 0))</f>
        <v>7</v>
      </c>
      <c r="E164" s="472"/>
      <c r="F164" s="472"/>
      <c r="G164" s="473" t="s">
        <v>427</v>
      </c>
      <c r="H164" s="506"/>
      <c r="I164" s="476">
        <f t="shared" si="8"/>
        <v>0</v>
      </c>
      <c r="J164" s="478"/>
    </row>
    <row r="165" spans="1:13">
      <c r="A165" t="str">
        <f t="shared" si="9"/>
        <v>Supplie</v>
      </c>
      <c r="E165" s="472"/>
      <c r="F165" s="472"/>
      <c r="G165" s="479" t="s">
        <v>255</v>
      </c>
      <c r="H165" s="495">
        <f>SUM(H145:H163)</f>
        <v>396250</v>
      </c>
      <c r="I165" s="476"/>
      <c r="J165" s="478"/>
    </row>
    <row r="166" spans="1:13">
      <c r="A166" t="str">
        <f t="shared" si="9"/>
        <v/>
      </c>
      <c r="E166" s="472"/>
      <c r="F166" s="472" t="s">
        <v>256</v>
      </c>
      <c r="G166" s="473"/>
      <c r="H166" s="506"/>
      <c r="I166" s="476"/>
      <c r="J166" s="478"/>
    </row>
    <row r="167" spans="1:13">
      <c r="A167" t="str">
        <f t="shared" si="9"/>
        <v>8102400</v>
      </c>
      <c r="B167">
        <v>135</v>
      </c>
      <c r="C167">
        <v>2400</v>
      </c>
      <c r="D167" s="509" cm="1">
        <f t="array" ref="D167">INDEX('Form A Mapping'!C:C, MATCH(1, (C167 &gt;= 'Form A Mapping'!A:A) * (C167 &lt;= 'Form A Mapping'!B:B), 0))</f>
        <v>16</v>
      </c>
      <c r="E167" s="472"/>
      <c r="F167" s="472"/>
      <c r="G167" s="473" t="s">
        <v>428</v>
      </c>
      <c r="H167" s="506">
        <v>71000</v>
      </c>
      <c r="I167" s="476">
        <f t="shared" si="8"/>
        <v>71000</v>
      </c>
      <c r="J167" s="478"/>
    </row>
    <row r="168" spans="1:13">
      <c r="A168" t="str">
        <f t="shared" si="9"/>
        <v>8102400</v>
      </c>
      <c r="B168">
        <v>135</v>
      </c>
      <c r="C168">
        <v>2400</v>
      </c>
      <c r="D168" s="509" cm="1">
        <f t="array" ref="D168">INDEX('Form A Mapping'!C:C, MATCH(1, (C168 &gt;= 'Form A Mapping'!A:A) * (C168 &lt;= 'Form A Mapping'!B:B), 0))</f>
        <v>16</v>
      </c>
      <c r="E168" s="472"/>
      <c r="F168" s="472"/>
      <c r="G168" s="473" t="s">
        <v>429</v>
      </c>
      <c r="H168" s="506"/>
      <c r="I168" s="476">
        <f t="shared" si="8"/>
        <v>0</v>
      </c>
      <c r="J168" s="478"/>
    </row>
    <row r="169" spans="1:13">
      <c r="A169" t="str">
        <f t="shared" si="9"/>
        <v>Miscell</v>
      </c>
      <c r="E169" s="472"/>
      <c r="F169" s="472"/>
      <c r="G169" s="479" t="s">
        <v>257</v>
      </c>
      <c r="H169" s="495">
        <f>H167</f>
        <v>71000</v>
      </c>
      <c r="I169" s="476"/>
      <c r="J169" s="478"/>
    </row>
    <row r="170" spans="1:13">
      <c r="A170" t="str">
        <f t="shared" si="9"/>
        <v/>
      </c>
      <c r="E170" s="472"/>
      <c r="F170" s="480" t="s">
        <v>258</v>
      </c>
      <c r="G170" s="479"/>
      <c r="H170" s="495">
        <f>H64+H80+H110+H126+H143+H165+H169</f>
        <v>5140353.3159670029</v>
      </c>
      <c r="I170" s="476"/>
      <c r="J170" s="478"/>
      <c r="K170" s="477">
        <f>SUM(J35:J168)</f>
        <v>1713801</v>
      </c>
      <c r="L170" s="486">
        <f>SUM(I35:J170)</f>
        <v>5140353.315967002</v>
      </c>
      <c r="M170" s="487">
        <f>'Annual Budget '!K156</f>
        <v>5140353.3159670029</v>
      </c>
    </row>
    <row r="171" spans="1:13">
      <c r="A171" t="str">
        <f t="shared" si="9"/>
        <v/>
      </c>
      <c r="E171" s="474" t="s">
        <v>259</v>
      </c>
      <c r="F171" s="474"/>
      <c r="G171" s="475"/>
      <c r="H171" s="496">
        <f>H32-H170</f>
        <v>324851.7639548555</v>
      </c>
      <c r="I171" s="476"/>
      <c r="J171" s="478"/>
      <c r="L171" s="488"/>
      <c r="M171" s="489"/>
    </row>
    <row r="172" spans="1:13">
      <c r="A172" t="str">
        <f t="shared" si="9"/>
        <v/>
      </c>
      <c r="E172" s="497"/>
      <c r="F172" s="497"/>
      <c r="G172" s="498"/>
      <c r="H172" s="498"/>
      <c r="I172" s="476"/>
      <c r="J172" s="478"/>
      <c r="L172" s="488"/>
      <c r="M172" s="489"/>
    </row>
    <row r="173" spans="1:13" ht="16" thickBot="1">
      <c r="A173" t="str">
        <f t="shared" si="9"/>
        <v/>
      </c>
      <c r="E173" s="497"/>
      <c r="F173" s="497"/>
      <c r="G173" s="498"/>
      <c r="H173" s="498"/>
      <c r="I173" s="476"/>
      <c r="J173" s="478"/>
      <c r="K173" s="477">
        <f>K32-K170</f>
        <v>-0.41663921298459172</v>
      </c>
      <c r="L173" s="490">
        <f>L32-L170</f>
        <v>324851.76395485643</v>
      </c>
      <c r="M173" s="491">
        <f>'Annual Budget '!G158</f>
        <v>324852.18059406849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3386-E605-46AB-96C8-9923B7F1FB33}">
  <sheetPr codeName="Sheet3"/>
  <dimension ref="A1:AM156"/>
  <sheetViews>
    <sheetView zoomScale="110" zoomScaleNormal="110" workbookViewId="0">
      <selection activeCell="D28" sqref="D28"/>
    </sheetView>
  </sheetViews>
  <sheetFormatPr defaultColWidth="10.53515625" defaultRowHeight="15.5"/>
  <cols>
    <col min="1" max="1" width="12.07421875" style="478" bestFit="1" customWidth="1"/>
    <col min="2" max="2" width="8.84375" style="478" bestFit="1" customWidth="1"/>
    <col min="3" max="4" width="8.84375" style="478" customWidth="1"/>
    <col min="5" max="5" width="35.53515625" bestFit="1" customWidth="1"/>
    <col min="6" max="23" width="0" hidden="1" customWidth="1"/>
    <col min="36" max="36" width="12.07421875" bestFit="1" customWidth="1"/>
    <col min="37" max="37" width="11.53515625" bestFit="1" customWidth="1"/>
    <col min="39" max="39" width="11.53515625" bestFit="1" customWidth="1"/>
  </cols>
  <sheetData>
    <row r="1" spans="1:37" ht="24">
      <c r="B1" s="478" t="str">
        <f>LEFT(TRIM(E1), 7)</f>
        <v/>
      </c>
      <c r="E1" s="494"/>
      <c r="F1" s="499" t="s">
        <v>577</v>
      </c>
      <c r="G1" s="499" t="s">
        <v>578</v>
      </c>
      <c r="H1" s="499" t="s">
        <v>262</v>
      </c>
      <c r="I1" s="499" t="s">
        <v>430</v>
      </c>
      <c r="J1" s="499" t="s">
        <v>431</v>
      </c>
      <c r="K1" s="499" t="s">
        <v>432</v>
      </c>
      <c r="L1" s="499" t="s">
        <v>433</v>
      </c>
      <c r="M1" s="499" t="s">
        <v>434</v>
      </c>
      <c r="N1" s="499" t="s">
        <v>435</v>
      </c>
      <c r="O1" s="499" t="s">
        <v>579</v>
      </c>
      <c r="P1" s="499" t="s">
        <v>579</v>
      </c>
      <c r="Q1" s="499" t="s">
        <v>436</v>
      </c>
      <c r="R1" s="499" t="s">
        <v>437</v>
      </c>
      <c r="S1" s="499" t="s">
        <v>438</v>
      </c>
      <c r="T1" s="499" t="s">
        <v>439</v>
      </c>
      <c r="U1" s="499" t="s">
        <v>263</v>
      </c>
      <c r="V1" s="499" t="s">
        <v>281</v>
      </c>
      <c r="W1" s="499" t="s">
        <v>440</v>
      </c>
      <c r="X1" s="499" t="s">
        <v>580</v>
      </c>
      <c r="Y1" s="499" t="s">
        <v>264</v>
      </c>
      <c r="Z1" s="482"/>
      <c r="AA1" s="482"/>
      <c r="AB1" s="482"/>
      <c r="AC1" s="482"/>
      <c r="AJ1" t="s">
        <v>260</v>
      </c>
      <c r="AK1" t="s">
        <v>261</v>
      </c>
    </row>
    <row r="2" spans="1:37">
      <c r="A2" s="478" t="s">
        <v>276</v>
      </c>
      <c r="B2" s="478" t="s">
        <v>277</v>
      </c>
      <c r="C2" s="478" t="s">
        <v>600</v>
      </c>
      <c r="D2" s="478" t="s">
        <v>595</v>
      </c>
      <c r="E2" s="500" t="s">
        <v>441</v>
      </c>
      <c r="F2" s="501"/>
      <c r="G2" s="501"/>
      <c r="H2" s="501"/>
      <c r="I2" s="501"/>
      <c r="J2" s="501"/>
      <c r="K2" s="501"/>
      <c r="L2" s="501"/>
      <c r="M2" s="501"/>
      <c r="N2" s="501"/>
      <c r="O2" s="501"/>
      <c r="P2" s="501"/>
      <c r="Q2" s="501"/>
      <c r="R2" s="501"/>
      <c r="S2" s="501"/>
      <c r="T2" s="501"/>
      <c r="U2" s="501"/>
      <c r="V2" s="501"/>
      <c r="W2" s="501"/>
      <c r="X2" s="501"/>
      <c r="Y2" s="501"/>
      <c r="Z2" s="482"/>
      <c r="AA2" s="482"/>
      <c r="AB2" s="482"/>
      <c r="AC2" s="482"/>
      <c r="AJ2" s="483">
        <f>Y2-AK2</f>
        <v>0</v>
      </c>
      <c r="AK2" s="483">
        <f>G2+I2+J2+K2+L2+M2+N2+Q2+T2+U2+V2+W2</f>
        <v>0</v>
      </c>
    </row>
    <row r="3" spans="1:37">
      <c r="E3" s="500" t="s">
        <v>442</v>
      </c>
      <c r="F3" s="501"/>
      <c r="G3" s="501"/>
      <c r="H3" s="501"/>
      <c r="I3" s="501"/>
      <c r="J3" s="501"/>
      <c r="K3" s="501"/>
      <c r="L3" s="501"/>
      <c r="M3" s="501"/>
      <c r="N3" s="501"/>
      <c r="O3" s="501"/>
      <c r="P3" s="501"/>
      <c r="Q3" s="501"/>
      <c r="R3" s="501"/>
      <c r="S3" s="501"/>
      <c r="T3" s="501"/>
      <c r="U3" s="501"/>
      <c r="V3" s="501"/>
      <c r="W3" s="501"/>
      <c r="X3" s="502">
        <f t="shared" ref="X3:X24" si="0">(((((((((((((((F3)+(G3))+(H3))+(I3))+(J3))+(K3))+(L3))+(M3))+(N3))+(Q3))+(R3))+(S3))+(T3))+(U3))+(V3))+(W3)</f>
        <v>0</v>
      </c>
      <c r="Y3" s="502">
        <f t="shared" ref="Y3:Y24" si="1">X3</f>
        <v>0</v>
      </c>
      <c r="Z3" s="482"/>
      <c r="AA3" s="482"/>
      <c r="AB3" s="482"/>
      <c r="AC3" s="482"/>
      <c r="AJ3" s="483">
        <f t="shared" ref="AJ3:AJ66" si="2">Y3-AK3</f>
        <v>0</v>
      </c>
      <c r="AK3" s="483">
        <f t="shared" ref="AK3:AK66" si="3">G3+I3+J3+K3+L3+M3+N3+Q3+T3+U3+V3+W3</f>
        <v>0</v>
      </c>
    </row>
    <row r="4" spans="1:37">
      <c r="A4" s="478">
        <v>7</v>
      </c>
      <c r="B4" s="478" t="str">
        <f>LEFT(TRIM(E4), 7)</f>
        <v>1994000</v>
      </c>
      <c r="D4" s="478">
        <v>1</v>
      </c>
      <c r="E4" s="500" t="s">
        <v>265</v>
      </c>
      <c r="F4" s="502">
        <f>1213489</f>
        <v>1213489</v>
      </c>
      <c r="G4" s="501"/>
      <c r="H4" s="501"/>
      <c r="I4" s="501"/>
      <c r="J4" s="501"/>
      <c r="K4" s="501"/>
      <c r="L4" s="501"/>
      <c r="M4" s="501"/>
      <c r="N4" s="501"/>
      <c r="O4" s="501"/>
      <c r="P4" s="501"/>
      <c r="Q4" s="501"/>
      <c r="R4" s="501"/>
      <c r="S4" s="501"/>
      <c r="T4" s="501"/>
      <c r="U4" s="501"/>
      <c r="V4" s="501"/>
      <c r="W4" s="501"/>
      <c r="X4" s="502">
        <f t="shared" si="0"/>
        <v>1213489</v>
      </c>
      <c r="Y4" s="502">
        <f t="shared" si="1"/>
        <v>1213489</v>
      </c>
      <c r="Z4" s="482"/>
      <c r="AA4" s="482"/>
      <c r="AB4" s="482"/>
      <c r="AC4" s="482"/>
      <c r="AJ4" s="483">
        <f t="shared" si="2"/>
        <v>1213489</v>
      </c>
      <c r="AK4" s="483">
        <f t="shared" si="3"/>
        <v>0</v>
      </c>
    </row>
    <row r="5" spans="1:37" ht="22">
      <c r="A5" s="478">
        <v>8</v>
      </c>
      <c r="B5" s="478" t="str">
        <f t="shared" ref="B5:B68" si="4">LEFT(TRIM(E5), 7)</f>
        <v>1999000</v>
      </c>
      <c r="D5" s="478">
        <v>1</v>
      </c>
      <c r="E5" s="500" t="s">
        <v>443</v>
      </c>
      <c r="F5" s="502">
        <f>1013.18</f>
        <v>1013.18</v>
      </c>
      <c r="G5" s="501"/>
      <c r="H5" s="501"/>
      <c r="I5" s="501"/>
      <c r="J5" s="501"/>
      <c r="K5" s="501"/>
      <c r="L5" s="501"/>
      <c r="M5" s="501"/>
      <c r="N5" s="501"/>
      <c r="O5" s="501"/>
      <c r="P5" s="501"/>
      <c r="Q5" s="501"/>
      <c r="R5" s="501"/>
      <c r="S5" s="501"/>
      <c r="T5" s="501"/>
      <c r="U5" s="501"/>
      <c r="V5" s="501"/>
      <c r="W5" s="501"/>
      <c r="X5" s="502">
        <f t="shared" si="0"/>
        <v>1013.18</v>
      </c>
      <c r="Y5" s="502">
        <f t="shared" si="1"/>
        <v>1013.18</v>
      </c>
      <c r="Z5" s="482"/>
      <c r="AA5" s="482"/>
      <c r="AB5" s="482"/>
      <c r="AC5" s="482"/>
      <c r="AJ5" s="483">
        <f t="shared" si="2"/>
        <v>1013.18</v>
      </c>
      <c r="AK5" s="483">
        <f t="shared" si="3"/>
        <v>0</v>
      </c>
    </row>
    <row r="6" spans="1:37">
      <c r="E6" s="500" t="s">
        <v>444</v>
      </c>
      <c r="F6" s="503">
        <f t="shared" ref="F6:W6" si="5">((F3)+(F4))+(F5)</f>
        <v>1214502.18</v>
      </c>
      <c r="G6" s="503">
        <f t="shared" si="5"/>
        <v>0</v>
      </c>
      <c r="H6" s="503">
        <f t="shared" si="5"/>
        <v>0</v>
      </c>
      <c r="I6" s="503">
        <f t="shared" si="5"/>
        <v>0</v>
      </c>
      <c r="J6" s="503">
        <f t="shared" si="5"/>
        <v>0</v>
      </c>
      <c r="K6" s="503">
        <f t="shared" si="5"/>
        <v>0</v>
      </c>
      <c r="L6" s="503">
        <f t="shared" si="5"/>
        <v>0</v>
      </c>
      <c r="M6" s="503">
        <f t="shared" si="5"/>
        <v>0</v>
      </c>
      <c r="N6" s="503">
        <f t="shared" si="5"/>
        <v>0</v>
      </c>
      <c r="O6" s="503">
        <f t="shared" si="5"/>
        <v>0</v>
      </c>
      <c r="P6" s="503">
        <f t="shared" si="5"/>
        <v>0</v>
      </c>
      <c r="Q6" s="503">
        <f t="shared" si="5"/>
        <v>0</v>
      </c>
      <c r="R6" s="503">
        <f t="shared" si="5"/>
        <v>0</v>
      </c>
      <c r="S6" s="503">
        <f t="shared" si="5"/>
        <v>0</v>
      </c>
      <c r="T6" s="503">
        <f t="shared" si="5"/>
        <v>0</v>
      </c>
      <c r="U6" s="503">
        <f t="shared" si="5"/>
        <v>0</v>
      </c>
      <c r="V6" s="503">
        <f t="shared" si="5"/>
        <v>0</v>
      </c>
      <c r="W6" s="503">
        <f t="shared" si="5"/>
        <v>0</v>
      </c>
      <c r="X6" s="503">
        <f t="shared" si="0"/>
        <v>1214502.18</v>
      </c>
      <c r="Y6" s="503">
        <f t="shared" si="1"/>
        <v>1214502.18</v>
      </c>
      <c r="Z6" s="482"/>
      <c r="AA6" s="482"/>
      <c r="AB6" s="482"/>
      <c r="AC6" s="482"/>
      <c r="AJ6" s="483">
        <f t="shared" si="2"/>
        <v>1214502.18</v>
      </c>
      <c r="AK6" s="483">
        <f t="shared" si="3"/>
        <v>0</v>
      </c>
    </row>
    <row r="7" spans="1:37">
      <c r="E7" s="500" t="s">
        <v>445</v>
      </c>
      <c r="F7" s="501"/>
      <c r="G7" s="501"/>
      <c r="H7" s="501"/>
      <c r="I7" s="501"/>
      <c r="J7" s="501"/>
      <c r="K7" s="501"/>
      <c r="L7" s="501"/>
      <c r="M7" s="501"/>
      <c r="N7" s="501"/>
      <c r="O7" s="501"/>
      <c r="P7" s="501"/>
      <c r="Q7" s="501"/>
      <c r="R7" s="501"/>
      <c r="S7" s="501"/>
      <c r="T7" s="501"/>
      <c r="U7" s="501"/>
      <c r="V7" s="501"/>
      <c r="W7" s="501"/>
      <c r="X7" s="502">
        <f t="shared" si="0"/>
        <v>0</v>
      </c>
      <c r="Y7" s="502">
        <f t="shared" si="1"/>
        <v>0</v>
      </c>
      <c r="Z7" s="482"/>
      <c r="AA7" s="482"/>
      <c r="AB7" s="482"/>
      <c r="AC7" s="482"/>
      <c r="AJ7" s="483">
        <f t="shared" si="2"/>
        <v>0</v>
      </c>
      <c r="AK7" s="483">
        <f t="shared" si="3"/>
        <v>0</v>
      </c>
    </row>
    <row r="8" spans="1:37">
      <c r="A8" s="478">
        <v>16</v>
      </c>
      <c r="B8" s="478" t="str">
        <f t="shared" si="4"/>
        <v>3110000</v>
      </c>
      <c r="D8" s="478">
        <v>3</v>
      </c>
      <c r="E8" s="500" t="s">
        <v>266</v>
      </c>
      <c r="F8" s="502">
        <f>922039</f>
        <v>922039</v>
      </c>
      <c r="G8" s="501"/>
      <c r="H8" s="501"/>
      <c r="I8" s="501"/>
      <c r="J8" s="501"/>
      <c r="K8" s="501"/>
      <c r="L8" s="501"/>
      <c r="M8" s="501"/>
      <c r="N8" s="501"/>
      <c r="O8" s="501"/>
      <c r="P8" s="501"/>
      <c r="Q8" s="501"/>
      <c r="R8" s="502">
        <f>82186</f>
        <v>82186</v>
      </c>
      <c r="S8" s="502">
        <f>9136</f>
        <v>9136</v>
      </c>
      <c r="T8" s="501"/>
      <c r="U8" s="501"/>
      <c r="V8" s="501"/>
      <c r="W8" s="501"/>
      <c r="X8" s="502">
        <f t="shared" si="0"/>
        <v>1013361</v>
      </c>
      <c r="Y8" s="502">
        <f t="shared" si="1"/>
        <v>1013361</v>
      </c>
      <c r="Z8" s="482"/>
      <c r="AA8" s="482"/>
      <c r="AB8" s="482"/>
      <c r="AC8" s="482"/>
      <c r="AJ8" s="483">
        <f t="shared" si="2"/>
        <v>1013361</v>
      </c>
      <c r="AK8" s="483">
        <f t="shared" si="3"/>
        <v>0</v>
      </c>
    </row>
    <row r="9" spans="1:37">
      <c r="A9" s="478">
        <v>19</v>
      </c>
      <c r="B9" s="478" t="str">
        <f t="shared" si="4"/>
        <v>3210000</v>
      </c>
      <c r="D9" s="478">
        <v>2</v>
      </c>
      <c r="E9" s="500" t="s">
        <v>581</v>
      </c>
      <c r="F9" s="502">
        <f>388</f>
        <v>388</v>
      </c>
      <c r="G9" s="501"/>
      <c r="H9" s="501"/>
      <c r="I9" s="501"/>
      <c r="J9" s="501"/>
      <c r="K9" s="501"/>
      <c r="L9" s="501"/>
      <c r="M9" s="501"/>
      <c r="N9" s="501"/>
      <c r="O9" s="501"/>
      <c r="P9" s="501"/>
      <c r="Q9" s="501"/>
      <c r="R9" s="501"/>
      <c r="S9" s="501"/>
      <c r="T9" s="501"/>
      <c r="U9" s="501"/>
      <c r="V9" s="501"/>
      <c r="W9" s="501"/>
      <c r="X9" s="502">
        <f t="shared" si="0"/>
        <v>388</v>
      </c>
      <c r="Y9" s="502">
        <f t="shared" si="1"/>
        <v>388</v>
      </c>
      <c r="Z9" s="482"/>
      <c r="AA9" s="482"/>
      <c r="AB9" s="482"/>
      <c r="AC9" s="482"/>
      <c r="AJ9" s="483">
        <f t="shared" si="2"/>
        <v>388</v>
      </c>
      <c r="AK9" s="483">
        <f t="shared" si="3"/>
        <v>0</v>
      </c>
    </row>
    <row r="10" spans="1:37">
      <c r="A10" s="478">
        <v>19</v>
      </c>
      <c r="B10" s="478" t="str">
        <f t="shared" si="4"/>
        <v>3220000</v>
      </c>
      <c r="D10" s="478">
        <v>2</v>
      </c>
      <c r="E10" s="500" t="s">
        <v>267</v>
      </c>
      <c r="F10" s="501"/>
      <c r="G10" s="501"/>
      <c r="H10" s="502">
        <f>3580</f>
        <v>3580</v>
      </c>
      <c r="I10" s="501"/>
      <c r="J10" s="501"/>
      <c r="K10" s="501"/>
      <c r="L10" s="501"/>
      <c r="M10" s="501"/>
      <c r="N10" s="501"/>
      <c r="O10" s="501"/>
      <c r="P10" s="501"/>
      <c r="Q10" s="501"/>
      <c r="R10" s="501"/>
      <c r="S10" s="501"/>
      <c r="T10" s="501"/>
      <c r="U10" s="501"/>
      <c r="V10" s="501"/>
      <c r="W10" s="501"/>
      <c r="X10" s="502">
        <f t="shared" si="0"/>
        <v>3580</v>
      </c>
      <c r="Y10" s="502">
        <f t="shared" si="1"/>
        <v>3580</v>
      </c>
      <c r="Z10" s="482"/>
      <c r="AA10" s="482"/>
      <c r="AB10" s="482"/>
      <c r="AC10" s="482"/>
      <c r="AJ10" s="483">
        <f t="shared" si="2"/>
        <v>3580</v>
      </c>
      <c r="AK10" s="483">
        <f t="shared" si="3"/>
        <v>0</v>
      </c>
    </row>
    <row r="11" spans="1:37">
      <c r="A11" s="478">
        <v>22</v>
      </c>
      <c r="B11" s="478" t="str">
        <f t="shared" si="4"/>
        <v>3240000</v>
      </c>
      <c r="D11" s="478">
        <v>2</v>
      </c>
      <c r="E11" s="500" t="s">
        <v>582</v>
      </c>
      <c r="F11" s="502">
        <f>104346</f>
        <v>104346</v>
      </c>
      <c r="G11" s="501"/>
      <c r="H11" s="501"/>
      <c r="I11" s="501"/>
      <c r="J11" s="501"/>
      <c r="K11" s="501"/>
      <c r="L11" s="501"/>
      <c r="M11" s="501"/>
      <c r="N11" s="501"/>
      <c r="O11" s="501"/>
      <c r="P11" s="501"/>
      <c r="Q11" s="501"/>
      <c r="R11" s="501"/>
      <c r="S11" s="501"/>
      <c r="T11" s="501"/>
      <c r="U11" s="501"/>
      <c r="V11" s="501"/>
      <c r="W11" s="501"/>
      <c r="X11" s="502">
        <f t="shared" si="0"/>
        <v>104346</v>
      </c>
      <c r="Y11" s="502">
        <f t="shared" si="1"/>
        <v>104346</v>
      </c>
      <c r="Z11" s="482"/>
      <c r="AA11" s="482"/>
      <c r="AB11" s="482"/>
      <c r="AC11" s="482"/>
      <c r="AJ11" s="483">
        <f t="shared" si="2"/>
        <v>104346</v>
      </c>
      <c r="AK11" s="483">
        <f t="shared" si="3"/>
        <v>0</v>
      </c>
    </row>
    <row r="12" spans="1:37">
      <c r="A12" s="478">
        <v>24</v>
      </c>
      <c r="B12" s="478" t="str">
        <f t="shared" si="4"/>
        <v>3290000</v>
      </c>
      <c r="D12" s="478">
        <v>2</v>
      </c>
      <c r="E12" s="500" t="s">
        <v>446</v>
      </c>
      <c r="F12" s="502">
        <f>500</f>
        <v>500</v>
      </c>
      <c r="G12" s="501"/>
      <c r="H12" s="501"/>
      <c r="I12" s="501"/>
      <c r="J12" s="501"/>
      <c r="K12" s="501"/>
      <c r="L12" s="501"/>
      <c r="M12" s="501"/>
      <c r="N12" s="501"/>
      <c r="O12" s="501"/>
      <c r="P12" s="501"/>
      <c r="Q12" s="501"/>
      <c r="R12" s="501"/>
      <c r="S12" s="501"/>
      <c r="T12" s="501"/>
      <c r="U12" s="501"/>
      <c r="V12" s="501"/>
      <c r="W12" s="501"/>
      <c r="X12" s="502">
        <f t="shared" si="0"/>
        <v>500</v>
      </c>
      <c r="Y12" s="502">
        <f t="shared" si="1"/>
        <v>500</v>
      </c>
      <c r="Z12" s="482"/>
      <c r="AA12" s="482"/>
      <c r="AB12" s="482"/>
      <c r="AC12" s="482"/>
      <c r="AJ12" s="483">
        <f t="shared" si="2"/>
        <v>500</v>
      </c>
      <c r="AK12" s="483">
        <f t="shared" si="3"/>
        <v>0</v>
      </c>
    </row>
    <row r="13" spans="1:37">
      <c r="E13" s="500" t="s">
        <v>447</v>
      </c>
      <c r="F13" s="503">
        <f t="shared" ref="F13:W13" si="6">(((((F7)+(F8))+(F9))+(F10))+(F11))+(F12)</f>
        <v>1027273</v>
      </c>
      <c r="G13" s="503">
        <f t="shared" si="6"/>
        <v>0</v>
      </c>
      <c r="H13" s="503">
        <f t="shared" si="6"/>
        <v>3580</v>
      </c>
      <c r="I13" s="503">
        <f t="shared" si="6"/>
        <v>0</v>
      </c>
      <c r="J13" s="503">
        <f t="shared" si="6"/>
        <v>0</v>
      </c>
      <c r="K13" s="503">
        <f t="shared" si="6"/>
        <v>0</v>
      </c>
      <c r="L13" s="503">
        <f t="shared" si="6"/>
        <v>0</v>
      </c>
      <c r="M13" s="503">
        <f t="shared" si="6"/>
        <v>0</v>
      </c>
      <c r="N13" s="503">
        <f t="shared" si="6"/>
        <v>0</v>
      </c>
      <c r="O13" s="503">
        <f t="shared" si="6"/>
        <v>0</v>
      </c>
      <c r="P13" s="503">
        <f t="shared" si="6"/>
        <v>0</v>
      </c>
      <c r="Q13" s="503">
        <f t="shared" si="6"/>
        <v>0</v>
      </c>
      <c r="R13" s="503">
        <f t="shared" si="6"/>
        <v>82186</v>
      </c>
      <c r="S13" s="503">
        <f t="shared" si="6"/>
        <v>9136</v>
      </c>
      <c r="T13" s="503">
        <f t="shared" si="6"/>
        <v>0</v>
      </c>
      <c r="U13" s="503">
        <f t="shared" si="6"/>
        <v>0</v>
      </c>
      <c r="V13" s="503">
        <f t="shared" si="6"/>
        <v>0</v>
      </c>
      <c r="W13" s="503">
        <f t="shared" si="6"/>
        <v>0</v>
      </c>
      <c r="X13" s="503">
        <f t="shared" si="0"/>
        <v>1122175</v>
      </c>
      <c r="Y13" s="503">
        <f t="shared" si="1"/>
        <v>1122175</v>
      </c>
      <c r="Z13" s="482"/>
      <c r="AA13" s="482"/>
      <c r="AB13" s="482"/>
      <c r="AC13" s="482"/>
      <c r="AJ13" s="483">
        <f t="shared" si="2"/>
        <v>1122175</v>
      </c>
      <c r="AK13" s="483">
        <f t="shared" si="3"/>
        <v>0</v>
      </c>
    </row>
    <row r="14" spans="1:37">
      <c r="E14" s="500" t="s">
        <v>448</v>
      </c>
      <c r="F14" s="501"/>
      <c r="G14" s="501"/>
      <c r="H14" s="501"/>
      <c r="I14" s="501"/>
      <c r="J14" s="501"/>
      <c r="K14" s="501"/>
      <c r="L14" s="501"/>
      <c r="M14" s="501"/>
      <c r="N14" s="501"/>
      <c r="O14" s="501"/>
      <c r="P14" s="501"/>
      <c r="Q14" s="501"/>
      <c r="R14" s="501"/>
      <c r="S14" s="501"/>
      <c r="T14" s="501"/>
      <c r="U14" s="501"/>
      <c r="V14" s="501"/>
      <c r="W14" s="501"/>
      <c r="X14" s="502">
        <f t="shared" si="0"/>
        <v>0</v>
      </c>
      <c r="Y14" s="502">
        <f t="shared" si="1"/>
        <v>0</v>
      </c>
      <c r="Z14" s="482"/>
      <c r="AA14" s="482"/>
      <c r="AB14" s="482"/>
      <c r="AC14" s="482"/>
      <c r="AJ14" s="483">
        <f t="shared" si="2"/>
        <v>0</v>
      </c>
      <c r="AK14" s="483">
        <f t="shared" si="3"/>
        <v>0</v>
      </c>
    </row>
    <row r="15" spans="1:37">
      <c r="A15" s="478">
        <v>41</v>
      </c>
      <c r="B15" s="478" t="str">
        <f t="shared" si="4"/>
        <v>4515000</v>
      </c>
      <c r="D15" s="478">
        <v>5</v>
      </c>
      <c r="E15" s="500" t="s">
        <v>449</v>
      </c>
      <c r="F15" s="501"/>
      <c r="G15" s="501"/>
      <c r="H15" s="501"/>
      <c r="I15" s="501"/>
      <c r="J15" s="501"/>
      <c r="K15" s="501"/>
      <c r="L15" s="501"/>
      <c r="M15" s="502">
        <f>217544.03</f>
        <v>217544.03</v>
      </c>
      <c r="N15" s="501"/>
      <c r="O15" s="501"/>
      <c r="P15" s="501"/>
      <c r="Q15" s="501"/>
      <c r="R15" s="501"/>
      <c r="S15" s="501"/>
      <c r="T15" s="501"/>
      <c r="U15" s="501"/>
      <c r="V15" s="501"/>
      <c r="W15" s="501"/>
      <c r="X15" s="502">
        <f t="shared" si="0"/>
        <v>217544.03</v>
      </c>
      <c r="Y15" s="502">
        <f t="shared" si="1"/>
        <v>217544.03</v>
      </c>
      <c r="Z15" s="482"/>
      <c r="AA15" s="482"/>
      <c r="AB15" s="482"/>
      <c r="AC15" s="482"/>
      <c r="AJ15" s="483">
        <f t="shared" si="2"/>
        <v>0</v>
      </c>
      <c r="AK15" s="483">
        <f t="shared" si="3"/>
        <v>217544.03</v>
      </c>
    </row>
    <row r="16" spans="1:37">
      <c r="A16" s="478">
        <v>43</v>
      </c>
      <c r="B16" s="478" t="str">
        <f t="shared" si="4"/>
        <v>4531000</v>
      </c>
      <c r="D16" s="478">
        <v>5</v>
      </c>
      <c r="E16" s="500" t="s">
        <v>268</v>
      </c>
      <c r="F16" s="501"/>
      <c r="G16" s="501"/>
      <c r="H16" s="501"/>
      <c r="I16" s="501"/>
      <c r="J16" s="501"/>
      <c r="K16" s="501"/>
      <c r="L16" s="501"/>
      <c r="M16" s="501"/>
      <c r="N16" s="502">
        <f>47844</f>
        <v>47844</v>
      </c>
      <c r="O16" s="501"/>
      <c r="P16" s="501"/>
      <c r="Q16" s="501"/>
      <c r="R16" s="501"/>
      <c r="S16" s="501"/>
      <c r="T16" s="501"/>
      <c r="U16" s="501"/>
      <c r="V16" s="501"/>
      <c r="W16" s="501"/>
      <c r="X16" s="502">
        <f t="shared" si="0"/>
        <v>47844</v>
      </c>
      <c r="Y16" s="502">
        <f t="shared" si="1"/>
        <v>47844</v>
      </c>
      <c r="Z16" s="482"/>
      <c r="AA16" s="482"/>
      <c r="AB16" s="482"/>
      <c r="AC16" s="482"/>
      <c r="AJ16" s="483">
        <f t="shared" si="2"/>
        <v>0</v>
      </c>
      <c r="AK16" s="483">
        <f t="shared" si="3"/>
        <v>47844</v>
      </c>
    </row>
    <row r="17" spans="1:39">
      <c r="A17" s="478">
        <v>44</v>
      </c>
      <c r="B17" s="478" t="str">
        <f t="shared" si="4"/>
        <v>4532000</v>
      </c>
      <c r="D17" s="478">
        <v>5</v>
      </c>
      <c r="E17" s="500" t="s">
        <v>269</v>
      </c>
      <c r="F17" s="501"/>
      <c r="G17" s="501"/>
      <c r="H17" s="501"/>
      <c r="I17" s="501"/>
      <c r="J17" s="501"/>
      <c r="K17" s="501"/>
      <c r="L17" s="501"/>
      <c r="M17" s="501"/>
      <c r="N17" s="501"/>
      <c r="O17" s="502">
        <v>0</v>
      </c>
      <c r="P17" s="502">
        <v>0</v>
      </c>
      <c r="Q17" s="502">
        <f>6230</f>
        <v>6230</v>
      </c>
      <c r="R17" s="501"/>
      <c r="S17" s="501"/>
      <c r="T17" s="501"/>
      <c r="U17" s="501"/>
      <c r="V17" s="501"/>
      <c r="W17" s="501"/>
      <c r="X17" s="502">
        <f t="shared" si="0"/>
        <v>6230</v>
      </c>
      <c r="Y17" s="502">
        <f t="shared" si="1"/>
        <v>6230</v>
      </c>
      <c r="Z17" s="482"/>
      <c r="AA17" s="482"/>
      <c r="AB17" s="482"/>
      <c r="AC17" s="482"/>
      <c r="AJ17" s="483">
        <f t="shared" si="2"/>
        <v>0</v>
      </c>
      <c r="AK17" s="483">
        <f t="shared" si="3"/>
        <v>6230</v>
      </c>
    </row>
    <row r="18" spans="1:39">
      <c r="A18" s="478">
        <v>48</v>
      </c>
      <c r="B18" s="478" t="str">
        <f t="shared" si="4"/>
        <v>4541000</v>
      </c>
      <c r="D18" s="478">
        <v>5</v>
      </c>
      <c r="E18" s="500" t="s">
        <v>450</v>
      </c>
      <c r="F18" s="501"/>
      <c r="G18" s="501"/>
      <c r="H18" s="501"/>
      <c r="I18" s="501"/>
      <c r="J18" s="501"/>
      <c r="K18" s="501"/>
      <c r="L18" s="501"/>
      <c r="M18" s="501"/>
      <c r="N18" s="501"/>
      <c r="O18" s="501"/>
      <c r="P18" s="501"/>
      <c r="Q18" s="501"/>
      <c r="R18" s="501"/>
      <c r="S18" s="501"/>
      <c r="T18" s="501"/>
      <c r="U18" s="502">
        <f>263933</f>
        <v>263933</v>
      </c>
      <c r="V18" s="501"/>
      <c r="W18" s="501"/>
      <c r="X18" s="502">
        <f t="shared" si="0"/>
        <v>263933</v>
      </c>
      <c r="Y18" s="502">
        <f t="shared" si="1"/>
        <v>263933</v>
      </c>
      <c r="Z18" s="482"/>
      <c r="AA18" s="482"/>
      <c r="AB18" s="482"/>
      <c r="AC18" s="482"/>
      <c r="AJ18" s="483">
        <f t="shared" si="2"/>
        <v>0</v>
      </c>
      <c r="AK18" s="483">
        <f t="shared" si="3"/>
        <v>263933</v>
      </c>
    </row>
    <row r="19" spans="1:39">
      <c r="A19" s="478">
        <v>51</v>
      </c>
      <c r="B19" s="478" t="str">
        <f t="shared" si="4"/>
        <v>4544000</v>
      </c>
      <c r="D19" s="478">
        <v>5</v>
      </c>
      <c r="E19" s="500" t="s">
        <v>451</v>
      </c>
      <c r="F19" s="501"/>
      <c r="G19" s="501"/>
      <c r="H19" s="501"/>
      <c r="I19" s="501"/>
      <c r="J19" s="501"/>
      <c r="K19" s="501"/>
      <c r="L19" s="501"/>
      <c r="M19" s="501"/>
      <c r="N19" s="501"/>
      <c r="O19" s="501"/>
      <c r="P19" s="501"/>
      <c r="Q19" s="501"/>
      <c r="R19" s="501"/>
      <c r="S19" s="501"/>
      <c r="T19" s="501"/>
      <c r="U19" s="501"/>
      <c r="V19" s="501"/>
      <c r="W19" s="502">
        <f>27844</f>
        <v>27844</v>
      </c>
      <c r="X19" s="502">
        <f t="shared" si="0"/>
        <v>27844</v>
      </c>
      <c r="Y19" s="502">
        <f t="shared" si="1"/>
        <v>27844</v>
      </c>
      <c r="Z19" s="482"/>
      <c r="AA19" s="482"/>
      <c r="AB19" s="482"/>
      <c r="AC19" s="482"/>
      <c r="AJ19" s="483">
        <f t="shared" si="2"/>
        <v>0</v>
      </c>
      <c r="AK19" s="483">
        <f t="shared" si="3"/>
        <v>27844</v>
      </c>
    </row>
    <row r="20" spans="1:39">
      <c r="A20" s="478">
        <v>52</v>
      </c>
      <c r="B20" s="478" t="str">
        <f t="shared" si="4"/>
        <v>4545000</v>
      </c>
      <c r="D20" s="478">
        <v>5</v>
      </c>
      <c r="E20" s="500" t="s">
        <v>278</v>
      </c>
      <c r="F20" s="501"/>
      <c r="G20" s="501"/>
      <c r="H20" s="501"/>
      <c r="I20" s="501"/>
      <c r="J20" s="501"/>
      <c r="K20" s="501"/>
      <c r="L20" s="501"/>
      <c r="M20" s="501"/>
      <c r="N20" s="501"/>
      <c r="O20" s="501"/>
      <c r="P20" s="501"/>
      <c r="Q20" s="501"/>
      <c r="R20" s="501"/>
      <c r="S20" s="501"/>
      <c r="T20" s="501"/>
      <c r="U20" s="501"/>
      <c r="V20" s="502">
        <f>16633</f>
        <v>16633</v>
      </c>
      <c r="W20" s="501"/>
      <c r="X20" s="502">
        <f t="shared" si="0"/>
        <v>16633</v>
      </c>
      <c r="Y20" s="502">
        <f t="shared" si="1"/>
        <v>16633</v>
      </c>
      <c r="Z20" s="482"/>
      <c r="AA20" s="482"/>
      <c r="AB20" s="482"/>
      <c r="AC20" s="482"/>
      <c r="AJ20" s="483">
        <f t="shared" si="2"/>
        <v>0</v>
      </c>
      <c r="AK20" s="483">
        <f t="shared" si="3"/>
        <v>16633</v>
      </c>
    </row>
    <row r="21" spans="1:39">
      <c r="A21" s="478">
        <v>60</v>
      </c>
      <c r="B21" s="478" t="str">
        <f t="shared" si="4"/>
        <v>4590000</v>
      </c>
      <c r="D21" s="478">
        <v>5</v>
      </c>
      <c r="E21" s="500" t="s">
        <v>452</v>
      </c>
      <c r="F21" s="501"/>
      <c r="G21" s="502">
        <f>325000</f>
        <v>325000</v>
      </c>
      <c r="H21" s="501"/>
      <c r="I21" s="502">
        <f>573</f>
        <v>573</v>
      </c>
      <c r="J21" s="502">
        <f>21600</f>
        <v>21600</v>
      </c>
      <c r="K21" s="502">
        <f>140344</f>
        <v>140344</v>
      </c>
      <c r="L21" s="502">
        <f>916370</f>
        <v>916370</v>
      </c>
      <c r="M21" s="501"/>
      <c r="N21" s="501"/>
      <c r="O21" s="501"/>
      <c r="P21" s="501"/>
      <c r="Q21" s="501"/>
      <c r="R21" s="501"/>
      <c r="S21" s="501"/>
      <c r="T21" s="502">
        <f>14500</f>
        <v>14500</v>
      </c>
      <c r="U21" s="501"/>
      <c r="V21" s="501"/>
      <c r="W21" s="501"/>
      <c r="X21" s="502">
        <f t="shared" si="0"/>
        <v>1418387</v>
      </c>
      <c r="Y21" s="502">
        <f t="shared" si="1"/>
        <v>1418387</v>
      </c>
      <c r="Z21" s="482"/>
      <c r="AA21" s="482"/>
      <c r="AB21" s="482"/>
      <c r="AC21" s="482"/>
      <c r="AJ21" s="483">
        <f t="shared" si="2"/>
        <v>0</v>
      </c>
      <c r="AK21" s="483">
        <f t="shared" si="3"/>
        <v>1418387</v>
      </c>
    </row>
    <row r="22" spans="1:39">
      <c r="E22" s="500" t="s">
        <v>453</v>
      </c>
      <c r="F22" s="503">
        <f t="shared" ref="F22:W22" si="7">(((((((F14)+(F15))+(F16))+(F17))+(F18))+(F19))+(F20))+(F21)</f>
        <v>0</v>
      </c>
      <c r="G22" s="503">
        <f t="shared" si="7"/>
        <v>325000</v>
      </c>
      <c r="H22" s="503">
        <f t="shared" si="7"/>
        <v>0</v>
      </c>
      <c r="I22" s="503">
        <f t="shared" si="7"/>
        <v>573</v>
      </c>
      <c r="J22" s="503">
        <f t="shared" si="7"/>
        <v>21600</v>
      </c>
      <c r="K22" s="503">
        <f t="shared" si="7"/>
        <v>140344</v>
      </c>
      <c r="L22" s="503">
        <f t="shared" si="7"/>
        <v>916370</v>
      </c>
      <c r="M22" s="503">
        <f t="shared" si="7"/>
        <v>217544.03</v>
      </c>
      <c r="N22" s="503">
        <f t="shared" si="7"/>
        <v>47844</v>
      </c>
      <c r="O22" s="503">
        <f t="shared" si="7"/>
        <v>0</v>
      </c>
      <c r="P22" s="503">
        <f t="shared" si="7"/>
        <v>0</v>
      </c>
      <c r="Q22" s="503">
        <f t="shared" si="7"/>
        <v>6230</v>
      </c>
      <c r="R22" s="503">
        <f t="shared" si="7"/>
        <v>0</v>
      </c>
      <c r="S22" s="503">
        <f t="shared" si="7"/>
        <v>0</v>
      </c>
      <c r="T22" s="503">
        <f t="shared" si="7"/>
        <v>14500</v>
      </c>
      <c r="U22" s="503">
        <f t="shared" si="7"/>
        <v>263933</v>
      </c>
      <c r="V22" s="503">
        <f t="shared" si="7"/>
        <v>16633</v>
      </c>
      <c r="W22" s="503">
        <f t="shared" si="7"/>
        <v>27844</v>
      </c>
      <c r="X22" s="503">
        <f t="shared" si="0"/>
        <v>1998415.03</v>
      </c>
      <c r="Y22" s="503">
        <f t="shared" si="1"/>
        <v>1998415.03</v>
      </c>
      <c r="Z22" s="482"/>
      <c r="AA22" s="482"/>
      <c r="AB22" s="482"/>
      <c r="AC22" s="482"/>
      <c r="AJ22" s="483">
        <f t="shared" si="2"/>
        <v>0</v>
      </c>
      <c r="AK22" s="483">
        <f t="shared" si="3"/>
        <v>1998415.03</v>
      </c>
    </row>
    <row r="23" spans="1:39">
      <c r="E23" s="500" t="s">
        <v>454</v>
      </c>
      <c r="F23" s="503">
        <f t="shared" ref="F23:W23" si="8">((F6)+(F13))+(F22)</f>
        <v>2241775.1799999997</v>
      </c>
      <c r="G23" s="503">
        <f t="shared" si="8"/>
        <v>325000</v>
      </c>
      <c r="H23" s="503">
        <f t="shared" si="8"/>
        <v>3580</v>
      </c>
      <c r="I23" s="503">
        <f t="shared" si="8"/>
        <v>573</v>
      </c>
      <c r="J23" s="503">
        <f t="shared" si="8"/>
        <v>21600</v>
      </c>
      <c r="K23" s="503">
        <f t="shared" si="8"/>
        <v>140344</v>
      </c>
      <c r="L23" s="503">
        <f t="shared" si="8"/>
        <v>916370</v>
      </c>
      <c r="M23" s="503">
        <f t="shared" si="8"/>
        <v>217544.03</v>
      </c>
      <c r="N23" s="503">
        <f t="shared" si="8"/>
        <v>47844</v>
      </c>
      <c r="O23" s="503">
        <f t="shared" si="8"/>
        <v>0</v>
      </c>
      <c r="P23" s="503">
        <f t="shared" si="8"/>
        <v>0</v>
      </c>
      <c r="Q23" s="503">
        <f t="shared" si="8"/>
        <v>6230</v>
      </c>
      <c r="R23" s="503">
        <f t="shared" si="8"/>
        <v>82186</v>
      </c>
      <c r="S23" s="503">
        <f t="shared" si="8"/>
        <v>9136</v>
      </c>
      <c r="T23" s="503">
        <f t="shared" si="8"/>
        <v>14500</v>
      </c>
      <c r="U23" s="503">
        <f t="shared" si="8"/>
        <v>263933</v>
      </c>
      <c r="V23" s="503">
        <f t="shared" si="8"/>
        <v>16633</v>
      </c>
      <c r="W23" s="503">
        <f t="shared" si="8"/>
        <v>27844</v>
      </c>
      <c r="X23" s="503">
        <f t="shared" si="0"/>
        <v>4335092.209999999</v>
      </c>
      <c r="Y23" s="503">
        <f t="shared" si="1"/>
        <v>4335092.209999999</v>
      </c>
      <c r="Z23" s="482"/>
      <c r="AA23" s="482"/>
      <c r="AB23" s="482"/>
      <c r="AC23" s="482"/>
      <c r="AJ23" s="483">
        <f t="shared" si="2"/>
        <v>2336677.1799999988</v>
      </c>
      <c r="AK23" s="483">
        <f t="shared" si="3"/>
        <v>1998415.03</v>
      </c>
    </row>
    <row r="24" spans="1:39">
      <c r="E24" s="500" t="s">
        <v>270</v>
      </c>
      <c r="F24" s="503">
        <f t="shared" ref="F24:W24" si="9">(F23)-(0)</f>
        <v>2241775.1799999997</v>
      </c>
      <c r="G24" s="503">
        <f t="shared" si="9"/>
        <v>325000</v>
      </c>
      <c r="H24" s="503">
        <f t="shared" si="9"/>
        <v>3580</v>
      </c>
      <c r="I24" s="503">
        <f t="shared" si="9"/>
        <v>573</v>
      </c>
      <c r="J24" s="503">
        <f t="shared" si="9"/>
        <v>21600</v>
      </c>
      <c r="K24" s="503">
        <f t="shared" si="9"/>
        <v>140344</v>
      </c>
      <c r="L24" s="503">
        <f t="shared" si="9"/>
        <v>916370</v>
      </c>
      <c r="M24" s="503">
        <f t="shared" si="9"/>
        <v>217544.03</v>
      </c>
      <c r="N24" s="503">
        <f t="shared" si="9"/>
        <v>47844</v>
      </c>
      <c r="O24" s="503">
        <f t="shared" si="9"/>
        <v>0</v>
      </c>
      <c r="P24" s="503">
        <f t="shared" si="9"/>
        <v>0</v>
      </c>
      <c r="Q24" s="503">
        <f t="shared" si="9"/>
        <v>6230</v>
      </c>
      <c r="R24" s="503">
        <f t="shared" si="9"/>
        <v>82186</v>
      </c>
      <c r="S24" s="503">
        <f t="shared" si="9"/>
        <v>9136</v>
      </c>
      <c r="T24" s="503">
        <f t="shared" si="9"/>
        <v>14500</v>
      </c>
      <c r="U24" s="503">
        <f t="shared" si="9"/>
        <v>263933</v>
      </c>
      <c r="V24" s="503">
        <f t="shared" si="9"/>
        <v>16633</v>
      </c>
      <c r="W24" s="503">
        <f t="shared" si="9"/>
        <v>27844</v>
      </c>
      <c r="X24" s="503">
        <f t="shared" si="0"/>
        <v>4335092.209999999</v>
      </c>
      <c r="Y24" s="503">
        <f t="shared" si="1"/>
        <v>4335092.209999999</v>
      </c>
      <c r="Z24" s="482"/>
      <c r="AA24" s="482"/>
      <c r="AB24" s="482"/>
      <c r="AC24" s="482"/>
      <c r="AJ24" s="483">
        <f t="shared" si="2"/>
        <v>2336677.1799999988</v>
      </c>
      <c r="AK24" s="483">
        <f t="shared" si="3"/>
        <v>1998415.03</v>
      </c>
      <c r="AM24" s="483">
        <f>AJ24+AK24</f>
        <v>4335092.209999999</v>
      </c>
    </row>
    <row r="25" spans="1:39">
      <c r="E25" s="500" t="s">
        <v>243</v>
      </c>
      <c r="F25" s="501"/>
      <c r="G25" s="501"/>
      <c r="H25" s="501"/>
      <c r="I25" s="501"/>
      <c r="J25" s="501"/>
      <c r="K25" s="501"/>
      <c r="L25" s="501"/>
      <c r="M25" s="501"/>
      <c r="N25" s="501"/>
      <c r="O25" s="501"/>
      <c r="P25" s="501"/>
      <c r="Q25" s="501"/>
      <c r="R25" s="501"/>
      <c r="S25" s="501"/>
      <c r="T25" s="501"/>
      <c r="U25" s="501"/>
      <c r="V25" s="501"/>
      <c r="W25" s="501"/>
      <c r="X25" s="501"/>
      <c r="Y25" s="501"/>
      <c r="Z25" s="482"/>
      <c r="AA25" s="482">
        <f>'Annual Budget '!J85</f>
        <v>4335092.21</v>
      </c>
      <c r="AB25" s="482">
        <f>AA25-Y24</f>
        <v>0</v>
      </c>
      <c r="AC25" s="482"/>
      <c r="AJ25" s="483">
        <f t="shared" si="2"/>
        <v>0</v>
      </c>
      <c r="AK25" s="483">
        <f t="shared" si="3"/>
        <v>0</v>
      </c>
    </row>
    <row r="26" spans="1:39">
      <c r="B26" s="478" t="str">
        <f t="shared" si="4"/>
        <v>1000000</v>
      </c>
      <c r="C26" s="478">
        <v>0</v>
      </c>
      <c r="D26" s="509" cm="1">
        <f t="array" ref="D26">INDEX('Form A Mapping'!C:C, MATCH(1, (C26 &gt;= 'Form A Mapping'!A:A) * (C26 &lt;= 'Form A Mapping'!B:B), 0))</f>
        <v>0</v>
      </c>
      <c r="E26" s="500" t="s">
        <v>455</v>
      </c>
      <c r="F26" s="501"/>
      <c r="G26" s="501"/>
      <c r="H26" s="501"/>
      <c r="I26" s="501"/>
      <c r="J26" s="501"/>
      <c r="K26" s="501"/>
      <c r="L26" s="501"/>
      <c r="M26" s="501"/>
      <c r="N26" s="501"/>
      <c r="O26" s="501"/>
      <c r="P26" s="501"/>
      <c r="Q26" s="501"/>
      <c r="R26" s="501"/>
      <c r="S26" s="501"/>
      <c r="T26" s="501"/>
      <c r="U26" s="501"/>
      <c r="V26" s="501"/>
      <c r="W26" s="501"/>
      <c r="X26" s="502">
        <f t="shared" ref="X26:X89" si="10">(((((((((((((((F26)+(G26))+(H26))+(I26))+(J26))+(K26))+(L26))+(M26))+(N26))+(Q26))+(R26))+(S26))+(T26))+(U26))+(V26))+(W26)</f>
        <v>0</v>
      </c>
      <c r="Y26" s="502">
        <f t="shared" ref="Y26:Y89" si="11">X26</f>
        <v>0</v>
      </c>
      <c r="Z26" s="482"/>
      <c r="AA26" s="482"/>
      <c r="AB26" s="482"/>
      <c r="AC26" s="482"/>
      <c r="AJ26" s="483">
        <f t="shared" si="2"/>
        <v>0</v>
      </c>
      <c r="AK26" s="483">
        <f t="shared" si="3"/>
        <v>0</v>
      </c>
    </row>
    <row r="27" spans="1:39">
      <c r="A27" s="478">
        <v>81</v>
      </c>
      <c r="B27" s="478" t="str">
        <f t="shared" si="4"/>
        <v>1112190</v>
      </c>
      <c r="C27" s="478">
        <v>2190</v>
      </c>
      <c r="D27" s="509" cm="1">
        <f t="array" ref="D27">INDEX('Form A Mapping'!C:C, MATCH(1, (C27 &gt;= 'Form A Mapping'!A:A) * (C27 &lt;= 'Form A Mapping'!B:B), 0))</f>
        <v>13</v>
      </c>
      <c r="E27" s="500" t="s">
        <v>456</v>
      </c>
      <c r="F27" s="502">
        <f>30133.4</f>
        <v>30133.4</v>
      </c>
      <c r="G27" s="501"/>
      <c r="H27" s="501"/>
      <c r="I27" s="501"/>
      <c r="J27" s="501"/>
      <c r="K27" s="501"/>
      <c r="L27" s="501"/>
      <c r="M27" s="501"/>
      <c r="N27" s="501"/>
      <c r="O27" s="501"/>
      <c r="P27" s="501"/>
      <c r="Q27" s="501"/>
      <c r="R27" s="501"/>
      <c r="S27" s="501"/>
      <c r="T27" s="501"/>
      <c r="U27" s="501"/>
      <c r="V27" s="501"/>
      <c r="W27" s="501"/>
      <c r="X27" s="502">
        <f t="shared" si="10"/>
        <v>30133.4</v>
      </c>
      <c r="Y27" s="502">
        <f t="shared" si="11"/>
        <v>30133.4</v>
      </c>
      <c r="Z27" s="482"/>
      <c r="AA27" s="482"/>
      <c r="AB27" s="482"/>
      <c r="AC27" s="482"/>
      <c r="AJ27" s="483">
        <f t="shared" si="2"/>
        <v>30133.4</v>
      </c>
      <c r="AK27" s="483">
        <f t="shared" si="3"/>
        <v>0</v>
      </c>
    </row>
    <row r="28" spans="1:39">
      <c r="A28" s="478">
        <v>81</v>
      </c>
      <c r="B28" s="478" t="str">
        <f t="shared" si="4"/>
        <v>1112400</v>
      </c>
      <c r="C28" s="478">
        <v>2400</v>
      </c>
      <c r="D28" s="509" cm="1">
        <f t="array" ref="D28">INDEX('Form A Mapping'!C:C, MATCH(1, (C28 &gt;= 'Form A Mapping'!A:A) * (C28 &lt;= 'Form A Mapping'!B:B), 0))</f>
        <v>16</v>
      </c>
      <c r="E28" s="500" t="s">
        <v>457</v>
      </c>
      <c r="F28" s="502">
        <f>84167.89</f>
        <v>84167.89</v>
      </c>
      <c r="G28" s="502">
        <f>50063</f>
        <v>50063</v>
      </c>
      <c r="H28" s="501"/>
      <c r="I28" s="501"/>
      <c r="J28" s="501"/>
      <c r="K28" s="501"/>
      <c r="L28" s="501"/>
      <c r="M28" s="502">
        <f>23631.18</f>
        <v>23631.18</v>
      </c>
      <c r="N28" s="501"/>
      <c r="O28" s="501"/>
      <c r="P28" s="501"/>
      <c r="Q28" s="501"/>
      <c r="R28" s="501"/>
      <c r="S28" s="501"/>
      <c r="T28" s="501"/>
      <c r="U28" s="502">
        <f>28348</f>
        <v>28348</v>
      </c>
      <c r="V28" s="502">
        <f>0</f>
        <v>0</v>
      </c>
      <c r="W28" s="501"/>
      <c r="X28" s="502">
        <f t="shared" si="10"/>
        <v>186210.07</v>
      </c>
      <c r="Y28" s="502">
        <f t="shared" si="11"/>
        <v>186210.07</v>
      </c>
      <c r="Z28" s="482"/>
      <c r="AA28" s="482"/>
      <c r="AB28" s="482"/>
      <c r="AC28" s="482"/>
      <c r="AJ28" s="483">
        <f t="shared" si="2"/>
        <v>84167.890000000014</v>
      </c>
      <c r="AK28" s="483">
        <f t="shared" si="3"/>
        <v>102042.18</v>
      </c>
    </row>
    <row r="29" spans="1:39">
      <c r="A29" s="478">
        <v>81</v>
      </c>
      <c r="B29" s="478" t="str">
        <f t="shared" si="4"/>
        <v>1112410</v>
      </c>
      <c r="C29" s="478">
        <v>2410</v>
      </c>
      <c r="D29" s="509" cm="1">
        <f t="array" ref="D29">INDEX('Form A Mapping'!C:C, MATCH(1, (C29 &gt;= 'Form A Mapping'!A:A) * (C29 &lt;= 'Form A Mapping'!B:B), 0))</f>
        <v>16</v>
      </c>
      <c r="E29" s="500" t="s">
        <v>458</v>
      </c>
      <c r="F29" s="502">
        <f>143179.92</f>
        <v>143179.92000000001</v>
      </c>
      <c r="G29" s="501"/>
      <c r="H29" s="501"/>
      <c r="I29" s="501"/>
      <c r="J29" s="501"/>
      <c r="K29" s="501"/>
      <c r="L29" s="501"/>
      <c r="M29" s="501"/>
      <c r="N29" s="501"/>
      <c r="O29" s="501"/>
      <c r="P29" s="501"/>
      <c r="Q29" s="501"/>
      <c r="R29" s="501"/>
      <c r="S29" s="501"/>
      <c r="T29" s="501"/>
      <c r="U29" s="501"/>
      <c r="V29" s="502">
        <f>863</f>
        <v>863</v>
      </c>
      <c r="W29" s="501"/>
      <c r="X29" s="502">
        <f t="shared" si="10"/>
        <v>144042.92000000001</v>
      </c>
      <c r="Y29" s="502">
        <f t="shared" si="11"/>
        <v>144042.92000000001</v>
      </c>
      <c r="Z29" s="482"/>
      <c r="AA29" s="482"/>
      <c r="AB29" s="482"/>
      <c r="AC29" s="482"/>
      <c r="AJ29" s="483">
        <f t="shared" si="2"/>
        <v>143179.92000000001</v>
      </c>
      <c r="AK29" s="483">
        <f t="shared" si="3"/>
        <v>863</v>
      </c>
    </row>
    <row r="30" spans="1:39">
      <c r="A30" s="478">
        <v>79</v>
      </c>
      <c r="B30" s="478" t="str">
        <f t="shared" si="4"/>
        <v>1112430</v>
      </c>
      <c r="C30" s="478">
        <v>2430</v>
      </c>
      <c r="D30" s="509" cm="1">
        <f t="array" ref="D30">INDEX('Form A Mapping'!C:C, MATCH(1, (C30 &gt;= 'Form A Mapping'!A:A) * (C30 &lt;= 'Form A Mapping'!B:B), 0))</f>
        <v>16</v>
      </c>
      <c r="E30" s="500" t="s">
        <v>459</v>
      </c>
      <c r="F30" s="502">
        <f>10333.36</f>
        <v>10333.36</v>
      </c>
      <c r="G30" s="502">
        <f>50000</f>
        <v>50000</v>
      </c>
      <c r="H30" s="501"/>
      <c r="I30" s="501"/>
      <c r="J30" s="501"/>
      <c r="K30" s="501"/>
      <c r="L30" s="501"/>
      <c r="M30" s="501"/>
      <c r="N30" s="501"/>
      <c r="O30" s="501"/>
      <c r="P30" s="501"/>
      <c r="Q30" s="501"/>
      <c r="R30" s="501"/>
      <c r="S30" s="501"/>
      <c r="T30" s="501"/>
      <c r="U30" s="501"/>
      <c r="V30" s="501"/>
      <c r="W30" s="501"/>
      <c r="X30" s="502">
        <f t="shared" si="10"/>
        <v>60333.36</v>
      </c>
      <c r="Y30" s="502">
        <f t="shared" si="11"/>
        <v>60333.36</v>
      </c>
      <c r="Z30" s="482"/>
      <c r="AA30" s="482"/>
      <c r="AB30" s="482"/>
      <c r="AC30" s="482"/>
      <c r="AJ30" s="483">
        <f t="shared" si="2"/>
        <v>10333.36</v>
      </c>
      <c r="AK30" s="483">
        <f t="shared" si="3"/>
        <v>50000</v>
      </c>
    </row>
    <row r="31" spans="1:39">
      <c r="A31" s="478">
        <v>82</v>
      </c>
      <c r="B31" s="478" t="str">
        <f t="shared" si="4"/>
        <v>1121105</v>
      </c>
      <c r="C31" s="478">
        <v>1105</v>
      </c>
      <c r="D31" s="509" cm="1">
        <f t="array" ref="D31">INDEX('Form A Mapping'!C:C, MATCH(1, (C31 &gt;= 'Form A Mapping'!A:A) * (C31 &lt;= 'Form A Mapping'!B:B), 0))</f>
        <v>7</v>
      </c>
      <c r="E31" s="500" t="s">
        <v>583</v>
      </c>
      <c r="F31" s="502">
        <f>56008.64</f>
        <v>56008.639999999999</v>
      </c>
      <c r="G31" s="501"/>
      <c r="H31" s="501"/>
      <c r="I31" s="501"/>
      <c r="J31" s="501"/>
      <c r="K31" s="501"/>
      <c r="L31" s="501"/>
      <c r="M31" s="501"/>
      <c r="N31" s="501"/>
      <c r="O31" s="501"/>
      <c r="P31" s="501"/>
      <c r="Q31" s="501"/>
      <c r="R31" s="501"/>
      <c r="S31" s="501"/>
      <c r="T31" s="501"/>
      <c r="U31" s="501"/>
      <c r="V31" s="501"/>
      <c r="W31" s="501"/>
      <c r="X31" s="502">
        <f t="shared" si="10"/>
        <v>56008.639999999999</v>
      </c>
      <c r="Y31" s="502">
        <f t="shared" si="11"/>
        <v>56008.639999999999</v>
      </c>
      <c r="Z31" s="482"/>
      <c r="AA31" s="482"/>
      <c r="AB31" s="482"/>
      <c r="AC31" s="482"/>
      <c r="AJ31" s="483">
        <f t="shared" si="2"/>
        <v>56008.639999999999</v>
      </c>
      <c r="AK31" s="483">
        <f t="shared" si="3"/>
        <v>0</v>
      </c>
    </row>
    <row r="32" spans="1:39">
      <c r="A32" s="478">
        <v>82</v>
      </c>
      <c r="B32" s="478" t="str">
        <f t="shared" si="4"/>
        <v>1121110</v>
      </c>
      <c r="C32" s="478">
        <v>1110</v>
      </c>
      <c r="D32" s="509" cm="1">
        <f t="array" ref="D32">INDEX('Form A Mapping'!C:C, MATCH(1, (C32 &gt;= 'Form A Mapping'!A:A) * (C32 &lt;= 'Form A Mapping'!B:B), 0))</f>
        <v>7</v>
      </c>
      <c r="E32" s="500" t="s">
        <v>460</v>
      </c>
      <c r="F32" s="502">
        <f>331533.05</f>
        <v>331533.05</v>
      </c>
      <c r="G32" s="502">
        <f>153223</f>
        <v>153223</v>
      </c>
      <c r="H32" s="501"/>
      <c r="I32" s="501"/>
      <c r="J32" s="501"/>
      <c r="K32" s="502">
        <f>62875</f>
        <v>62875</v>
      </c>
      <c r="L32" s="502">
        <f>350530</f>
        <v>350530</v>
      </c>
      <c r="M32" s="501"/>
      <c r="N32" s="502">
        <f>42500</f>
        <v>42500</v>
      </c>
      <c r="O32" s="501"/>
      <c r="P32" s="501"/>
      <c r="Q32" s="501"/>
      <c r="R32" s="502">
        <f>8000</f>
        <v>8000</v>
      </c>
      <c r="S32" s="501"/>
      <c r="T32" s="501"/>
      <c r="U32" s="502">
        <f>34058</f>
        <v>34058</v>
      </c>
      <c r="V32" s="502">
        <f>8090</f>
        <v>8090</v>
      </c>
      <c r="W32" s="502">
        <f>27844</f>
        <v>27844</v>
      </c>
      <c r="X32" s="502">
        <f t="shared" si="10"/>
        <v>1018653.05</v>
      </c>
      <c r="Y32" s="502">
        <f t="shared" si="11"/>
        <v>1018653.05</v>
      </c>
      <c r="Z32" s="482"/>
      <c r="AA32" s="482"/>
      <c r="AB32" s="482"/>
      <c r="AC32" s="482"/>
      <c r="AJ32" s="483">
        <f t="shared" si="2"/>
        <v>339533.05000000005</v>
      </c>
      <c r="AK32" s="483">
        <f t="shared" si="3"/>
        <v>679120</v>
      </c>
    </row>
    <row r="33" spans="1:37">
      <c r="A33" s="478">
        <v>82</v>
      </c>
      <c r="B33" s="478" t="str">
        <f t="shared" si="4"/>
        <v>1121210</v>
      </c>
      <c r="C33" s="478">
        <v>1210</v>
      </c>
      <c r="D33" s="509" cm="1">
        <f t="array" ref="D33">INDEX('Form A Mapping'!C:C, MATCH(1, (C33 &gt;= 'Form A Mapping'!A:A) * (C33 &lt;= 'Form A Mapping'!B:B), 0))</f>
        <v>8</v>
      </c>
      <c r="E33" s="500" t="s">
        <v>461</v>
      </c>
      <c r="F33" s="502">
        <f>114297.37</f>
        <v>114297.37</v>
      </c>
      <c r="G33" s="501"/>
      <c r="H33" s="501"/>
      <c r="I33" s="501"/>
      <c r="J33" s="501"/>
      <c r="K33" s="501"/>
      <c r="L33" s="501"/>
      <c r="M33" s="501"/>
      <c r="N33" s="501"/>
      <c r="O33" s="501"/>
      <c r="P33" s="501"/>
      <c r="Q33" s="501"/>
      <c r="R33" s="501"/>
      <c r="S33" s="501"/>
      <c r="T33" s="501"/>
      <c r="U33" s="502">
        <f>46951</f>
        <v>46951</v>
      </c>
      <c r="V33" s="502">
        <f>2312</f>
        <v>2312</v>
      </c>
      <c r="W33" s="501"/>
      <c r="X33" s="502">
        <f t="shared" si="10"/>
        <v>163560.37</v>
      </c>
      <c r="Y33" s="502">
        <f t="shared" si="11"/>
        <v>163560.37</v>
      </c>
      <c r="Z33" s="482"/>
      <c r="AA33" s="482"/>
      <c r="AB33" s="482"/>
      <c r="AC33" s="482"/>
      <c r="AJ33" s="483">
        <f t="shared" si="2"/>
        <v>114297.37</v>
      </c>
      <c r="AK33" s="483">
        <f t="shared" si="3"/>
        <v>49263</v>
      </c>
    </row>
    <row r="34" spans="1:37">
      <c r="A34" s="478">
        <v>82</v>
      </c>
      <c r="B34" s="478" t="str">
        <f t="shared" si="4"/>
        <v>1121530</v>
      </c>
      <c r="C34" s="478">
        <v>1530</v>
      </c>
      <c r="D34" s="509" cm="1">
        <f t="array" ref="D34">INDEX('Form A Mapping'!C:C, MATCH(1, (C34 &gt;= 'Form A Mapping'!A:A) * (C34 &lt;= 'Form A Mapping'!B:B), 0))</f>
        <v>11</v>
      </c>
      <c r="E34" s="500" t="s">
        <v>584</v>
      </c>
      <c r="F34" s="502">
        <f>89856.96</f>
        <v>89856.960000000006</v>
      </c>
      <c r="G34" s="501"/>
      <c r="H34" s="501"/>
      <c r="I34" s="501"/>
      <c r="J34" s="501"/>
      <c r="K34" s="501"/>
      <c r="L34" s="501"/>
      <c r="M34" s="501"/>
      <c r="N34" s="501"/>
      <c r="O34" s="501"/>
      <c r="P34" s="501"/>
      <c r="Q34" s="501"/>
      <c r="R34" s="501"/>
      <c r="S34" s="501"/>
      <c r="T34" s="501"/>
      <c r="U34" s="501"/>
      <c r="V34" s="502">
        <f>1251</f>
        <v>1251</v>
      </c>
      <c r="W34" s="501"/>
      <c r="X34" s="502">
        <f t="shared" si="10"/>
        <v>91107.96</v>
      </c>
      <c r="Y34" s="502">
        <f t="shared" si="11"/>
        <v>91107.96</v>
      </c>
      <c r="Z34" s="482"/>
      <c r="AA34" s="482"/>
      <c r="AB34" s="482"/>
      <c r="AC34" s="482"/>
      <c r="AJ34" s="483">
        <f t="shared" si="2"/>
        <v>89856.960000000006</v>
      </c>
      <c r="AK34" s="483">
        <f t="shared" si="3"/>
        <v>1251</v>
      </c>
    </row>
    <row r="35" spans="1:37">
      <c r="A35" s="478">
        <v>83</v>
      </c>
      <c r="B35" s="478" t="str">
        <f t="shared" si="4"/>
        <v>1132122</v>
      </c>
      <c r="C35" s="478">
        <v>2122</v>
      </c>
      <c r="D35" s="509" cm="1">
        <f t="array" ref="D35">INDEX('Form A Mapping'!C:C, MATCH(1, (C35 &gt;= 'Form A Mapping'!A:A) * (C35 &lt;= 'Form A Mapping'!B:B), 0))</f>
        <v>13</v>
      </c>
      <c r="E35" s="500" t="s">
        <v>462</v>
      </c>
      <c r="F35" s="502">
        <f>10944.88</f>
        <v>10944.88</v>
      </c>
      <c r="G35" s="501"/>
      <c r="H35" s="501"/>
      <c r="I35" s="501"/>
      <c r="J35" s="501"/>
      <c r="K35" s="501"/>
      <c r="L35" s="501"/>
      <c r="M35" s="501"/>
      <c r="N35" s="501"/>
      <c r="O35" s="501"/>
      <c r="P35" s="501"/>
      <c r="Q35" s="501"/>
      <c r="R35" s="501"/>
      <c r="S35" s="501"/>
      <c r="T35" s="501"/>
      <c r="U35" s="502">
        <f>45345</f>
        <v>45345</v>
      </c>
      <c r="V35" s="502">
        <f>400</f>
        <v>400</v>
      </c>
      <c r="W35" s="501"/>
      <c r="X35" s="502">
        <f t="shared" si="10"/>
        <v>56689.88</v>
      </c>
      <c r="Y35" s="502">
        <f t="shared" si="11"/>
        <v>56689.88</v>
      </c>
      <c r="Z35" s="482"/>
      <c r="AA35" s="482"/>
      <c r="AB35" s="482"/>
      <c r="AC35" s="482"/>
      <c r="AJ35" s="483">
        <f t="shared" si="2"/>
        <v>10944.879999999997</v>
      </c>
      <c r="AK35" s="483">
        <f t="shared" si="3"/>
        <v>45745</v>
      </c>
    </row>
    <row r="36" spans="1:37">
      <c r="A36" s="478">
        <v>83</v>
      </c>
      <c r="B36" s="478" t="str">
        <f t="shared" si="4"/>
        <v>1132220</v>
      </c>
      <c r="C36" s="478">
        <v>2220</v>
      </c>
      <c r="D36" s="509" cm="1">
        <f t="array" ref="D36">INDEX('Form A Mapping'!C:C, MATCH(1, (C36 &gt;= 'Form A Mapping'!A:A) * (C36 &lt;= 'Form A Mapping'!B:B), 0))</f>
        <v>14</v>
      </c>
      <c r="E36" s="500" t="s">
        <v>463</v>
      </c>
      <c r="F36" s="502">
        <f>47134.83</f>
        <v>47134.83</v>
      </c>
      <c r="G36" s="501"/>
      <c r="H36" s="501"/>
      <c r="I36" s="501"/>
      <c r="J36" s="501"/>
      <c r="K36" s="502">
        <f>51368</f>
        <v>51368</v>
      </c>
      <c r="L36" s="501"/>
      <c r="M36" s="501"/>
      <c r="N36" s="501"/>
      <c r="O36" s="501"/>
      <c r="P36" s="501"/>
      <c r="Q36" s="501"/>
      <c r="R36" s="501"/>
      <c r="S36" s="501"/>
      <c r="T36" s="501"/>
      <c r="U36" s="501"/>
      <c r="V36" s="502">
        <f>864</f>
        <v>864</v>
      </c>
      <c r="W36" s="501"/>
      <c r="X36" s="502">
        <f t="shared" si="10"/>
        <v>99366.83</v>
      </c>
      <c r="Y36" s="502">
        <f t="shared" si="11"/>
        <v>99366.83</v>
      </c>
      <c r="Z36" s="482"/>
      <c r="AA36" s="482"/>
      <c r="AB36" s="482"/>
      <c r="AC36" s="482"/>
      <c r="AJ36" s="483">
        <f t="shared" si="2"/>
        <v>47134.83</v>
      </c>
      <c r="AK36" s="483">
        <f t="shared" si="3"/>
        <v>52232</v>
      </c>
    </row>
    <row r="37" spans="1:37">
      <c r="A37" s="478">
        <v>84</v>
      </c>
      <c r="B37" s="478" t="str">
        <f t="shared" si="4"/>
        <v>1142400</v>
      </c>
      <c r="C37" s="478">
        <v>2400</v>
      </c>
      <c r="D37" s="509" cm="1">
        <f t="array" ref="D37">INDEX('Form A Mapping'!C:C, MATCH(1, (C37 &gt;= 'Form A Mapping'!A:A) * (C37 &lt;= 'Form A Mapping'!B:B), 0))</f>
        <v>16</v>
      </c>
      <c r="E37" s="500" t="s">
        <v>464</v>
      </c>
      <c r="F37" s="502">
        <f>46530.6</f>
        <v>46530.6</v>
      </c>
      <c r="G37" s="501"/>
      <c r="H37" s="501"/>
      <c r="I37" s="501"/>
      <c r="J37" s="501"/>
      <c r="K37" s="501"/>
      <c r="L37" s="501"/>
      <c r="M37" s="501"/>
      <c r="N37" s="501"/>
      <c r="O37" s="501"/>
      <c r="P37" s="501"/>
      <c r="Q37" s="501"/>
      <c r="R37" s="501"/>
      <c r="S37" s="501"/>
      <c r="T37" s="501"/>
      <c r="U37" s="501"/>
      <c r="V37" s="502">
        <f>480</f>
        <v>480</v>
      </c>
      <c r="W37" s="501"/>
      <c r="X37" s="502">
        <f t="shared" si="10"/>
        <v>47010.6</v>
      </c>
      <c r="Y37" s="502">
        <f t="shared" si="11"/>
        <v>47010.6</v>
      </c>
      <c r="Z37" s="482"/>
      <c r="AA37" s="482"/>
      <c r="AB37" s="482"/>
      <c r="AC37" s="482"/>
      <c r="AJ37" s="483">
        <f t="shared" si="2"/>
        <v>46530.6</v>
      </c>
      <c r="AK37" s="483">
        <f t="shared" si="3"/>
        <v>480</v>
      </c>
    </row>
    <row r="38" spans="1:37">
      <c r="A38" s="478">
        <v>86</v>
      </c>
      <c r="B38" s="478" t="str">
        <f t="shared" si="4"/>
        <v>1151100</v>
      </c>
      <c r="C38" s="478">
        <v>1100</v>
      </c>
      <c r="D38" s="509" cm="1">
        <f t="array" ref="D38">INDEX('Form A Mapping'!C:C, MATCH(1, (C38 &gt;= 'Form A Mapping'!A:A) * (C38 &lt;= 'Form A Mapping'!B:B), 0))</f>
        <v>7</v>
      </c>
      <c r="E38" s="500" t="s">
        <v>585</v>
      </c>
      <c r="F38" s="502">
        <f>10326.09</f>
        <v>10326.09</v>
      </c>
      <c r="G38" s="501"/>
      <c r="H38" s="501"/>
      <c r="I38" s="501"/>
      <c r="J38" s="501"/>
      <c r="K38" s="501"/>
      <c r="L38" s="501"/>
      <c r="M38" s="501"/>
      <c r="N38" s="501"/>
      <c r="O38" s="501"/>
      <c r="P38" s="501"/>
      <c r="Q38" s="501"/>
      <c r="R38" s="501"/>
      <c r="S38" s="501"/>
      <c r="T38" s="501"/>
      <c r="U38" s="501"/>
      <c r="V38" s="502">
        <f>864</f>
        <v>864</v>
      </c>
      <c r="W38" s="501"/>
      <c r="X38" s="502">
        <f t="shared" si="10"/>
        <v>11190.09</v>
      </c>
      <c r="Y38" s="502">
        <f t="shared" si="11"/>
        <v>11190.09</v>
      </c>
      <c r="Z38" s="482"/>
      <c r="AA38" s="482"/>
      <c r="AB38" s="482"/>
      <c r="AC38" s="482"/>
      <c r="AJ38" s="483">
        <f t="shared" si="2"/>
        <v>10326.09</v>
      </c>
      <c r="AK38" s="483">
        <f t="shared" si="3"/>
        <v>864</v>
      </c>
    </row>
    <row r="39" spans="1:37">
      <c r="A39" s="478">
        <v>86</v>
      </c>
      <c r="B39" s="478" t="str">
        <f t="shared" si="4"/>
        <v>1151210</v>
      </c>
      <c r="C39" s="478">
        <v>1210</v>
      </c>
      <c r="D39" s="509" cm="1">
        <f t="array" ref="D39">INDEX('Form A Mapping'!C:C, MATCH(1, (C39 &gt;= 'Form A Mapping'!A:A) * (C39 &lt;= 'Form A Mapping'!B:B), 0))</f>
        <v>8</v>
      </c>
      <c r="E39" s="500" t="s">
        <v>271</v>
      </c>
      <c r="F39" s="502">
        <f>-3007.01</f>
        <v>-3007.01</v>
      </c>
      <c r="G39" s="502">
        <f>39548</f>
        <v>39548</v>
      </c>
      <c r="H39" s="501"/>
      <c r="I39" s="501"/>
      <c r="J39" s="501"/>
      <c r="K39" s="501"/>
      <c r="L39" s="501"/>
      <c r="M39" s="501"/>
      <c r="N39" s="501"/>
      <c r="O39" s="501"/>
      <c r="P39" s="501"/>
      <c r="Q39" s="501"/>
      <c r="R39" s="501"/>
      <c r="S39" s="501"/>
      <c r="T39" s="501"/>
      <c r="U39" s="501"/>
      <c r="V39" s="501"/>
      <c r="W39" s="501"/>
      <c r="X39" s="502">
        <f t="shared" si="10"/>
        <v>36540.99</v>
      </c>
      <c r="Y39" s="502">
        <f t="shared" si="11"/>
        <v>36540.99</v>
      </c>
      <c r="Z39" s="482"/>
      <c r="AA39" s="482"/>
      <c r="AB39" s="482"/>
      <c r="AC39" s="482"/>
      <c r="AJ39" s="483">
        <f t="shared" si="2"/>
        <v>-3007.010000000002</v>
      </c>
      <c r="AK39" s="483">
        <f t="shared" si="3"/>
        <v>39548</v>
      </c>
    </row>
    <row r="40" spans="1:37">
      <c r="A40" s="478">
        <v>85</v>
      </c>
      <c r="B40" s="478" t="str">
        <f t="shared" si="4"/>
        <v>1162620</v>
      </c>
      <c r="C40" s="478">
        <v>2620</v>
      </c>
      <c r="D40" s="509" cm="1">
        <f t="array" ref="D40">INDEX('Form A Mapping'!C:C, MATCH(1, (C40 &gt;= 'Form A Mapping'!A:A) * (C40 &lt;= 'Form A Mapping'!B:B), 0))</f>
        <v>18</v>
      </c>
      <c r="E40" s="500" t="s">
        <v>465</v>
      </c>
      <c r="F40" s="502">
        <f>2281.79</f>
        <v>2281.79</v>
      </c>
      <c r="G40" s="501"/>
      <c r="H40" s="501"/>
      <c r="I40" s="501"/>
      <c r="J40" s="501"/>
      <c r="K40" s="501"/>
      <c r="L40" s="502">
        <f>53822</f>
        <v>53822</v>
      </c>
      <c r="M40" s="502">
        <f>12195.11</f>
        <v>12195.11</v>
      </c>
      <c r="N40" s="501"/>
      <c r="O40" s="501"/>
      <c r="P40" s="501"/>
      <c r="Q40" s="501"/>
      <c r="R40" s="501"/>
      <c r="S40" s="501"/>
      <c r="T40" s="501"/>
      <c r="U40" s="501"/>
      <c r="V40" s="502">
        <f>1509</f>
        <v>1509</v>
      </c>
      <c r="W40" s="501"/>
      <c r="X40" s="502">
        <f t="shared" si="10"/>
        <v>69807.899999999994</v>
      </c>
      <c r="Y40" s="502">
        <f t="shared" si="11"/>
        <v>69807.899999999994</v>
      </c>
      <c r="Z40" s="482"/>
      <c r="AA40" s="482"/>
      <c r="AB40" s="482"/>
      <c r="AC40" s="482"/>
      <c r="AJ40" s="483">
        <f t="shared" si="2"/>
        <v>2281.7899999999936</v>
      </c>
      <c r="AK40" s="483">
        <f t="shared" si="3"/>
        <v>67526.11</v>
      </c>
    </row>
    <row r="41" spans="1:37">
      <c r="E41" s="500" t="s">
        <v>466</v>
      </c>
      <c r="F41" s="503">
        <f t="shared" ref="F41:W41" si="12">((((((((((((((F26)+(F27))+(F28))+(F29))+(F30))+(F31))+(F32))+(F33))+(F34))+(F35))+(F36))+(F37))+(F38))+(F39))+(F40)</f>
        <v>973721.7699999999</v>
      </c>
      <c r="G41" s="503">
        <f t="shared" si="12"/>
        <v>292834</v>
      </c>
      <c r="H41" s="503">
        <f t="shared" si="12"/>
        <v>0</v>
      </c>
      <c r="I41" s="503">
        <f t="shared" si="12"/>
        <v>0</v>
      </c>
      <c r="J41" s="503">
        <f t="shared" si="12"/>
        <v>0</v>
      </c>
      <c r="K41" s="503">
        <f t="shared" si="12"/>
        <v>114243</v>
      </c>
      <c r="L41" s="503">
        <f t="shared" si="12"/>
        <v>404352</v>
      </c>
      <c r="M41" s="503">
        <f t="shared" si="12"/>
        <v>35826.29</v>
      </c>
      <c r="N41" s="503">
        <f t="shared" si="12"/>
        <v>42500</v>
      </c>
      <c r="O41" s="503">
        <f t="shared" si="12"/>
        <v>0</v>
      </c>
      <c r="P41" s="503">
        <f t="shared" si="12"/>
        <v>0</v>
      </c>
      <c r="Q41" s="503">
        <f t="shared" si="12"/>
        <v>0</v>
      </c>
      <c r="R41" s="503">
        <f t="shared" si="12"/>
        <v>8000</v>
      </c>
      <c r="S41" s="503">
        <f t="shared" si="12"/>
        <v>0</v>
      </c>
      <c r="T41" s="503">
        <f t="shared" si="12"/>
        <v>0</v>
      </c>
      <c r="U41" s="503">
        <f t="shared" si="12"/>
        <v>154702</v>
      </c>
      <c r="V41" s="503">
        <f t="shared" si="12"/>
        <v>16633</v>
      </c>
      <c r="W41" s="503">
        <f t="shared" si="12"/>
        <v>27844</v>
      </c>
      <c r="X41" s="503">
        <f t="shared" si="10"/>
        <v>2070656.06</v>
      </c>
      <c r="Y41" s="503">
        <f t="shared" si="11"/>
        <v>2070656.06</v>
      </c>
      <c r="Z41" s="482"/>
      <c r="AA41" s="482"/>
      <c r="AB41" s="482"/>
      <c r="AC41" s="482"/>
      <c r="AJ41" s="483">
        <f t="shared" si="2"/>
        <v>981721.77</v>
      </c>
      <c r="AK41" s="483">
        <f t="shared" si="3"/>
        <v>1088934.29</v>
      </c>
    </row>
    <row r="42" spans="1:37">
      <c r="A42" s="478">
        <v>89</v>
      </c>
      <c r="B42" s="478" t="str">
        <f t="shared" si="4"/>
        <v>2000000</v>
      </c>
      <c r="C42" s="478">
        <v>0</v>
      </c>
      <c r="D42" s="509" cm="1">
        <f t="array" ref="D42">INDEX('Form A Mapping'!C:C, MATCH(1, (C42 &gt;= 'Form A Mapping'!A:A) * (C42 &lt;= 'Form A Mapping'!B:B), 0))</f>
        <v>0</v>
      </c>
      <c r="E42" s="500" t="s">
        <v>467</v>
      </c>
      <c r="F42" s="501"/>
      <c r="G42" s="501"/>
      <c r="H42" s="501"/>
      <c r="I42" s="501"/>
      <c r="J42" s="501"/>
      <c r="K42" s="501"/>
      <c r="L42" s="501"/>
      <c r="M42" s="501"/>
      <c r="N42" s="501"/>
      <c r="O42" s="501"/>
      <c r="P42" s="501"/>
      <c r="Q42" s="501"/>
      <c r="R42" s="501"/>
      <c r="S42" s="501"/>
      <c r="T42" s="501"/>
      <c r="U42" s="501"/>
      <c r="V42" s="501"/>
      <c r="W42" s="501"/>
      <c r="X42" s="502">
        <f t="shared" si="10"/>
        <v>0</v>
      </c>
      <c r="Y42" s="502">
        <f t="shared" si="11"/>
        <v>0</v>
      </c>
      <c r="Z42" s="482"/>
      <c r="AA42" s="482"/>
      <c r="AB42" s="482"/>
      <c r="AC42" s="482"/>
      <c r="AJ42" s="483">
        <f t="shared" si="2"/>
        <v>0</v>
      </c>
      <c r="AK42" s="483">
        <f t="shared" si="3"/>
        <v>0</v>
      </c>
    </row>
    <row r="43" spans="1:37">
      <c r="A43" s="478">
        <v>89</v>
      </c>
      <c r="B43" s="478" t="str">
        <f t="shared" si="4"/>
        <v>2100000</v>
      </c>
      <c r="C43" s="478">
        <v>0</v>
      </c>
      <c r="D43" s="509" cm="1">
        <f t="array" ref="D43">INDEX('Form A Mapping'!C:C, MATCH(1, (C43 &gt;= 'Form A Mapping'!A:A) * (C43 &lt;= 'Form A Mapping'!B:B), 0))</f>
        <v>0</v>
      </c>
      <c r="E43" s="500" t="s">
        <v>468</v>
      </c>
      <c r="F43" s="501"/>
      <c r="G43" s="501"/>
      <c r="H43" s="501"/>
      <c r="I43" s="501"/>
      <c r="J43" s="501"/>
      <c r="K43" s="501"/>
      <c r="L43" s="501"/>
      <c r="M43" s="501"/>
      <c r="N43" s="501"/>
      <c r="O43" s="501"/>
      <c r="P43" s="501"/>
      <c r="Q43" s="501"/>
      <c r="R43" s="501"/>
      <c r="S43" s="501"/>
      <c r="T43" s="501"/>
      <c r="U43" s="501"/>
      <c r="V43" s="501"/>
      <c r="W43" s="501"/>
      <c r="X43" s="502">
        <f t="shared" si="10"/>
        <v>0</v>
      </c>
      <c r="Y43" s="502">
        <f t="shared" si="11"/>
        <v>0</v>
      </c>
      <c r="Z43" s="482"/>
      <c r="AA43" s="482"/>
      <c r="AB43" s="482"/>
      <c r="AC43" s="482"/>
      <c r="AJ43" s="483">
        <f t="shared" si="2"/>
        <v>0</v>
      </c>
      <c r="AK43" s="483">
        <f t="shared" si="3"/>
        <v>0</v>
      </c>
    </row>
    <row r="44" spans="1:37">
      <c r="A44" s="478">
        <v>89</v>
      </c>
      <c r="B44" s="478" t="str">
        <f t="shared" si="4"/>
        <v>2101100</v>
      </c>
      <c r="C44" s="478">
        <v>1100</v>
      </c>
      <c r="D44" s="509" cm="1">
        <f t="array" ref="D44">INDEX('Form A Mapping'!C:C, MATCH(1, (C44 &gt;= 'Form A Mapping'!A:A) * (C44 &lt;= 'Form A Mapping'!B:B), 0))</f>
        <v>7</v>
      </c>
      <c r="E44" s="500" t="s">
        <v>469</v>
      </c>
      <c r="F44" s="502">
        <f>108181.65</f>
        <v>108181.65</v>
      </c>
      <c r="G44" s="502">
        <f>2999</f>
        <v>2999</v>
      </c>
      <c r="H44" s="501"/>
      <c r="I44" s="501"/>
      <c r="J44" s="501"/>
      <c r="K44" s="502">
        <f>23</f>
        <v>23</v>
      </c>
      <c r="L44" s="501"/>
      <c r="M44" s="501"/>
      <c r="N44" s="502">
        <f>12</f>
        <v>12</v>
      </c>
      <c r="O44" s="501"/>
      <c r="P44" s="501"/>
      <c r="Q44" s="501"/>
      <c r="R44" s="501"/>
      <c r="S44" s="501"/>
      <c r="T44" s="501"/>
      <c r="U44" s="502">
        <f>3152</f>
        <v>3152</v>
      </c>
      <c r="V44" s="501"/>
      <c r="W44" s="501"/>
      <c r="X44" s="502">
        <f t="shared" si="10"/>
        <v>114367.65</v>
      </c>
      <c r="Y44" s="502">
        <f t="shared" si="11"/>
        <v>114367.65</v>
      </c>
      <c r="Z44" s="482"/>
      <c r="AA44" s="482"/>
      <c r="AB44" s="482"/>
      <c r="AC44" s="482"/>
      <c r="AJ44" s="483">
        <f t="shared" si="2"/>
        <v>108181.65</v>
      </c>
      <c r="AK44" s="483">
        <f t="shared" si="3"/>
        <v>6186</v>
      </c>
    </row>
    <row r="45" spans="1:37">
      <c r="A45" s="478">
        <v>89</v>
      </c>
      <c r="B45" s="478" t="str">
        <f t="shared" si="4"/>
        <v>2101210</v>
      </c>
      <c r="C45" s="478">
        <v>1210</v>
      </c>
      <c r="D45" s="509" cm="1">
        <f t="array" ref="D45">INDEX('Form A Mapping'!C:C, MATCH(1, (C45 &gt;= 'Form A Mapping'!A:A) * (C45 &lt;= 'Form A Mapping'!B:B), 0))</f>
        <v>8</v>
      </c>
      <c r="E45" s="500" t="s">
        <v>470</v>
      </c>
      <c r="F45" s="502">
        <f>12629.5</f>
        <v>12629.5</v>
      </c>
      <c r="G45" s="501"/>
      <c r="H45" s="501"/>
      <c r="I45" s="501"/>
      <c r="J45" s="501"/>
      <c r="K45" s="501"/>
      <c r="L45" s="501"/>
      <c r="M45" s="501"/>
      <c r="N45" s="501"/>
      <c r="O45" s="501"/>
      <c r="P45" s="501"/>
      <c r="Q45" s="501"/>
      <c r="R45" s="501"/>
      <c r="S45" s="501"/>
      <c r="T45" s="501"/>
      <c r="U45" s="501"/>
      <c r="V45" s="501"/>
      <c r="W45" s="501"/>
      <c r="X45" s="502">
        <f t="shared" si="10"/>
        <v>12629.5</v>
      </c>
      <c r="Y45" s="502">
        <f t="shared" si="11"/>
        <v>12629.5</v>
      </c>
      <c r="Z45" s="482"/>
      <c r="AA45" s="482"/>
      <c r="AB45" s="482"/>
      <c r="AC45" s="482"/>
      <c r="AJ45" s="483">
        <f t="shared" si="2"/>
        <v>12629.5</v>
      </c>
      <c r="AK45" s="483">
        <f t="shared" si="3"/>
        <v>0</v>
      </c>
    </row>
    <row r="46" spans="1:37">
      <c r="A46" s="478">
        <v>89</v>
      </c>
      <c r="B46" s="478" t="str">
        <f t="shared" si="4"/>
        <v>2101530</v>
      </c>
      <c r="C46" s="478">
        <v>1530</v>
      </c>
      <c r="D46" s="509" cm="1">
        <f t="array" ref="D46">INDEX('Form A Mapping'!C:C, MATCH(1, (C46 &gt;= 'Form A Mapping'!A:A) * (C46 &lt;= 'Form A Mapping'!B:B), 0))</f>
        <v>11</v>
      </c>
      <c r="E46" s="500" t="s">
        <v>586</v>
      </c>
      <c r="F46" s="502">
        <f>482.72</f>
        <v>482.72</v>
      </c>
      <c r="G46" s="501"/>
      <c r="H46" s="501"/>
      <c r="I46" s="501"/>
      <c r="J46" s="501"/>
      <c r="K46" s="501"/>
      <c r="L46" s="501"/>
      <c r="M46" s="501"/>
      <c r="N46" s="501"/>
      <c r="O46" s="501"/>
      <c r="P46" s="501"/>
      <c r="Q46" s="501"/>
      <c r="R46" s="501"/>
      <c r="S46" s="501"/>
      <c r="T46" s="501"/>
      <c r="U46" s="501"/>
      <c r="V46" s="501"/>
      <c r="W46" s="501"/>
      <c r="X46" s="502">
        <f t="shared" si="10"/>
        <v>482.72</v>
      </c>
      <c r="Y46" s="502">
        <f t="shared" si="11"/>
        <v>482.72</v>
      </c>
      <c r="Z46" s="482"/>
      <c r="AA46" s="482"/>
      <c r="AB46" s="482"/>
      <c r="AC46" s="482"/>
      <c r="AJ46" s="483">
        <f t="shared" si="2"/>
        <v>482.72</v>
      </c>
      <c r="AK46" s="483">
        <f t="shared" si="3"/>
        <v>0</v>
      </c>
    </row>
    <row r="47" spans="1:37">
      <c r="A47" s="478">
        <v>89</v>
      </c>
      <c r="B47" s="478" t="str">
        <f t="shared" si="4"/>
        <v>2102120</v>
      </c>
      <c r="C47" s="478">
        <v>2120</v>
      </c>
      <c r="D47" s="509" cm="1">
        <f t="array" ref="D47">INDEX('Form A Mapping'!C:C, MATCH(1, (C47 &gt;= 'Form A Mapping'!A:A) * (C47 &lt;= 'Form A Mapping'!B:B), 0))</f>
        <v>13</v>
      </c>
      <c r="E47" s="500" t="s">
        <v>471</v>
      </c>
      <c r="F47" s="502">
        <f>-4524.55</f>
        <v>-4524.55</v>
      </c>
      <c r="G47" s="501"/>
      <c r="H47" s="501"/>
      <c r="I47" s="501"/>
      <c r="J47" s="501"/>
      <c r="K47" s="502">
        <f>4525</f>
        <v>4525</v>
      </c>
      <c r="L47" s="501"/>
      <c r="M47" s="501"/>
      <c r="N47" s="501"/>
      <c r="O47" s="501"/>
      <c r="P47" s="501"/>
      <c r="Q47" s="501"/>
      <c r="R47" s="501"/>
      <c r="S47" s="501"/>
      <c r="T47" s="501"/>
      <c r="U47" s="502">
        <f>84</f>
        <v>84</v>
      </c>
      <c r="V47" s="501"/>
      <c r="W47" s="501"/>
      <c r="X47" s="502">
        <f t="shared" si="10"/>
        <v>84.449999999999818</v>
      </c>
      <c r="Y47" s="502">
        <f t="shared" si="11"/>
        <v>84.449999999999818</v>
      </c>
      <c r="Z47" s="482"/>
      <c r="AA47" s="482"/>
      <c r="AB47" s="482"/>
      <c r="AC47" s="482"/>
      <c r="AJ47" s="483">
        <f t="shared" si="2"/>
        <v>-4524.55</v>
      </c>
      <c r="AK47" s="483">
        <f t="shared" si="3"/>
        <v>4609</v>
      </c>
    </row>
    <row r="48" spans="1:37">
      <c r="A48" s="478">
        <v>89</v>
      </c>
      <c r="B48" s="478" t="str">
        <f t="shared" si="4"/>
        <v>2102190</v>
      </c>
      <c r="C48" s="478">
        <v>2190</v>
      </c>
      <c r="D48" s="509" cm="1">
        <f t="array" ref="D48">INDEX('Form A Mapping'!C:C, MATCH(1, (C48 &gt;= 'Form A Mapping'!A:A) * (C48 &lt;= 'Form A Mapping'!B:B), 0))</f>
        <v>13</v>
      </c>
      <c r="E48" s="500" t="s">
        <v>472</v>
      </c>
      <c r="F48" s="502">
        <f>2148.28</f>
        <v>2148.2800000000002</v>
      </c>
      <c r="G48" s="501"/>
      <c r="H48" s="501"/>
      <c r="I48" s="501"/>
      <c r="J48" s="501"/>
      <c r="K48" s="501"/>
      <c r="L48" s="501"/>
      <c r="M48" s="501"/>
      <c r="N48" s="501"/>
      <c r="O48" s="501"/>
      <c r="P48" s="501"/>
      <c r="Q48" s="501"/>
      <c r="R48" s="501"/>
      <c r="S48" s="501"/>
      <c r="T48" s="501"/>
      <c r="U48" s="501"/>
      <c r="V48" s="501"/>
      <c r="W48" s="501"/>
      <c r="X48" s="502">
        <f t="shared" si="10"/>
        <v>2148.2800000000002</v>
      </c>
      <c r="Y48" s="502">
        <f t="shared" si="11"/>
        <v>2148.2800000000002</v>
      </c>
      <c r="Z48" s="482"/>
      <c r="AA48" s="482"/>
      <c r="AB48" s="482"/>
      <c r="AC48" s="482"/>
      <c r="AJ48" s="483">
        <f t="shared" si="2"/>
        <v>2148.2800000000002</v>
      </c>
      <c r="AK48" s="483">
        <f t="shared" si="3"/>
        <v>0</v>
      </c>
    </row>
    <row r="49" spans="1:37">
      <c r="A49" s="478">
        <v>89</v>
      </c>
      <c r="B49" s="478" t="str">
        <f t="shared" si="4"/>
        <v>2102220</v>
      </c>
      <c r="C49" s="478">
        <v>2220</v>
      </c>
      <c r="D49" s="509" cm="1">
        <f t="array" ref="D49">INDEX('Form A Mapping'!C:C, MATCH(1, (C49 &gt;= 'Form A Mapping'!A:A) * (C49 &lt;= 'Form A Mapping'!B:B), 0))</f>
        <v>14</v>
      </c>
      <c r="E49" s="500" t="s">
        <v>473</v>
      </c>
      <c r="F49" s="502">
        <f>17565.32</f>
        <v>17565.32</v>
      </c>
      <c r="G49" s="501"/>
      <c r="H49" s="501"/>
      <c r="I49" s="501"/>
      <c r="J49" s="501"/>
      <c r="K49" s="501"/>
      <c r="L49" s="501"/>
      <c r="M49" s="501"/>
      <c r="N49" s="501"/>
      <c r="O49" s="501"/>
      <c r="P49" s="501"/>
      <c r="Q49" s="501"/>
      <c r="R49" s="501"/>
      <c r="S49" s="501"/>
      <c r="T49" s="501"/>
      <c r="U49" s="501"/>
      <c r="V49" s="501"/>
      <c r="W49" s="501"/>
      <c r="X49" s="502">
        <f t="shared" si="10"/>
        <v>17565.32</v>
      </c>
      <c r="Y49" s="502">
        <f t="shared" si="11"/>
        <v>17565.32</v>
      </c>
      <c r="Z49" s="482"/>
      <c r="AA49" s="482"/>
      <c r="AB49" s="482"/>
      <c r="AC49" s="482"/>
      <c r="AJ49" s="483">
        <f t="shared" si="2"/>
        <v>17565.32</v>
      </c>
      <c r="AK49" s="483">
        <f t="shared" si="3"/>
        <v>0</v>
      </c>
    </row>
    <row r="50" spans="1:37">
      <c r="A50" s="478">
        <v>89</v>
      </c>
      <c r="B50" s="478" t="str">
        <f t="shared" si="4"/>
        <v>2102400</v>
      </c>
      <c r="C50" s="478">
        <v>2400</v>
      </c>
      <c r="D50" s="509" cm="1">
        <f t="array" ref="D50">INDEX('Form A Mapping'!C:C, MATCH(1, (C50 &gt;= 'Form A Mapping'!A:A) * (C50 &lt;= 'Form A Mapping'!B:B), 0))</f>
        <v>16</v>
      </c>
      <c r="E50" s="500" t="s">
        <v>474</v>
      </c>
      <c r="F50" s="502">
        <f>14948.31</f>
        <v>14948.31</v>
      </c>
      <c r="G50" s="502">
        <f>11036</f>
        <v>11036</v>
      </c>
      <c r="H50" s="501"/>
      <c r="I50" s="501"/>
      <c r="J50" s="501"/>
      <c r="K50" s="501"/>
      <c r="L50" s="501"/>
      <c r="M50" s="501"/>
      <c r="N50" s="501"/>
      <c r="O50" s="501"/>
      <c r="P50" s="501"/>
      <c r="Q50" s="501"/>
      <c r="R50" s="501"/>
      <c r="S50" s="501"/>
      <c r="T50" s="501"/>
      <c r="U50" s="502">
        <f>1845</f>
        <v>1845</v>
      </c>
      <c r="V50" s="501"/>
      <c r="W50" s="501"/>
      <c r="X50" s="502">
        <f t="shared" si="10"/>
        <v>27829.309999999998</v>
      </c>
      <c r="Y50" s="502">
        <f t="shared" si="11"/>
        <v>27829.309999999998</v>
      </c>
      <c r="Z50" s="482"/>
      <c r="AA50" s="482"/>
      <c r="AB50" s="482"/>
      <c r="AC50" s="482"/>
      <c r="AJ50" s="483">
        <f t="shared" si="2"/>
        <v>14948.309999999998</v>
      </c>
      <c r="AK50" s="483">
        <f t="shared" si="3"/>
        <v>12881</v>
      </c>
    </row>
    <row r="51" spans="1:37">
      <c r="A51" s="478">
        <v>89</v>
      </c>
      <c r="B51" s="478" t="str">
        <f t="shared" si="4"/>
        <v>2102690</v>
      </c>
      <c r="C51" s="478">
        <v>2690</v>
      </c>
      <c r="D51" s="509" cm="1">
        <f t="array" ref="D51">INDEX('Form A Mapping'!C:C, MATCH(1, (C51 &gt;= 'Form A Mapping'!A:A) * (C51 &lt;= 'Form A Mapping'!B:B), 0))</f>
        <v>18</v>
      </c>
      <c r="E51" s="500" t="s">
        <v>475</v>
      </c>
      <c r="F51" s="502">
        <f>237.97</f>
        <v>237.97</v>
      </c>
      <c r="G51" s="501"/>
      <c r="H51" s="501"/>
      <c r="I51" s="501"/>
      <c r="J51" s="501"/>
      <c r="K51" s="501"/>
      <c r="L51" s="501"/>
      <c r="M51" s="501"/>
      <c r="N51" s="501"/>
      <c r="O51" s="501"/>
      <c r="P51" s="501"/>
      <c r="Q51" s="501"/>
      <c r="R51" s="501"/>
      <c r="S51" s="501"/>
      <c r="T51" s="501"/>
      <c r="U51" s="501"/>
      <c r="V51" s="501"/>
      <c r="W51" s="501"/>
      <c r="X51" s="502">
        <f t="shared" si="10"/>
        <v>237.97</v>
      </c>
      <c r="Y51" s="502">
        <f t="shared" si="11"/>
        <v>237.97</v>
      </c>
      <c r="Z51" s="482"/>
      <c r="AA51" s="482"/>
      <c r="AB51" s="482"/>
      <c r="AC51" s="482"/>
      <c r="AJ51" s="483">
        <f t="shared" si="2"/>
        <v>237.97</v>
      </c>
      <c r="AK51" s="483">
        <f t="shared" si="3"/>
        <v>0</v>
      </c>
    </row>
    <row r="52" spans="1:37">
      <c r="E52" s="500" t="s">
        <v>476</v>
      </c>
      <c r="F52" s="503">
        <f t="shared" ref="F52:W52" si="13">((((((((F43)+(F44))+(F45))+(F46))+(F47))+(F48))+(F49))+(F50))+(F51)</f>
        <v>151669.19999999998</v>
      </c>
      <c r="G52" s="503">
        <f t="shared" si="13"/>
        <v>14035</v>
      </c>
      <c r="H52" s="503">
        <f t="shared" si="13"/>
        <v>0</v>
      </c>
      <c r="I52" s="503">
        <f t="shared" si="13"/>
        <v>0</v>
      </c>
      <c r="J52" s="503">
        <f t="shared" si="13"/>
        <v>0</v>
      </c>
      <c r="K52" s="503">
        <f t="shared" si="13"/>
        <v>4548</v>
      </c>
      <c r="L52" s="503">
        <f t="shared" si="13"/>
        <v>0</v>
      </c>
      <c r="M52" s="503">
        <f t="shared" si="13"/>
        <v>0</v>
      </c>
      <c r="N52" s="503">
        <f t="shared" si="13"/>
        <v>12</v>
      </c>
      <c r="O52" s="503">
        <f t="shared" si="13"/>
        <v>0</v>
      </c>
      <c r="P52" s="503">
        <f t="shared" si="13"/>
        <v>0</v>
      </c>
      <c r="Q52" s="503">
        <f t="shared" si="13"/>
        <v>0</v>
      </c>
      <c r="R52" s="503">
        <f t="shared" si="13"/>
        <v>0</v>
      </c>
      <c r="S52" s="503">
        <f t="shared" si="13"/>
        <v>0</v>
      </c>
      <c r="T52" s="503">
        <f t="shared" si="13"/>
        <v>0</v>
      </c>
      <c r="U52" s="503">
        <f t="shared" si="13"/>
        <v>5081</v>
      </c>
      <c r="V52" s="503">
        <f t="shared" si="13"/>
        <v>0</v>
      </c>
      <c r="W52" s="503">
        <f t="shared" si="13"/>
        <v>0</v>
      </c>
      <c r="X52" s="503">
        <f t="shared" si="10"/>
        <v>175345.19999999998</v>
      </c>
      <c r="Y52" s="503">
        <f t="shared" si="11"/>
        <v>175345.19999999998</v>
      </c>
      <c r="Z52" s="482"/>
      <c r="AA52" s="482"/>
      <c r="AB52" s="482"/>
      <c r="AC52" s="482"/>
      <c r="AJ52" s="483">
        <f t="shared" si="2"/>
        <v>151669.19999999998</v>
      </c>
      <c r="AK52" s="483">
        <f t="shared" si="3"/>
        <v>23676</v>
      </c>
    </row>
    <row r="53" spans="1:37">
      <c r="A53" s="478">
        <v>90</v>
      </c>
      <c r="B53" s="478" t="str">
        <f t="shared" si="4"/>
        <v xml:space="preserve">220000 </v>
      </c>
      <c r="C53" s="478">
        <v>0</v>
      </c>
      <c r="D53" s="509" cm="1">
        <f t="array" ref="D53">INDEX('Form A Mapping'!C:C, MATCH(1, (C53 &gt;= 'Form A Mapping'!A:A) * (C53 &lt;= 'Form A Mapping'!B:B), 0))</f>
        <v>0</v>
      </c>
      <c r="E53" s="500" t="s">
        <v>477</v>
      </c>
      <c r="F53" s="501"/>
      <c r="G53" s="501"/>
      <c r="H53" s="501"/>
      <c r="I53" s="501"/>
      <c r="J53" s="501"/>
      <c r="K53" s="501"/>
      <c r="L53" s="501"/>
      <c r="M53" s="501"/>
      <c r="N53" s="501"/>
      <c r="O53" s="501"/>
      <c r="P53" s="501"/>
      <c r="Q53" s="501"/>
      <c r="R53" s="501"/>
      <c r="S53" s="501"/>
      <c r="T53" s="501"/>
      <c r="U53" s="501"/>
      <c r="V53" s="501"/>
      <c r="W53" s="501"/>
      <c r="X53" s="502">
        <f t="shared" si="10"/>
        <v>0</v>
      </c>
      <c r="Y53" s="502">
        <f t="shared" si="11"/>
        <v>0</v>
      </c>
      <c r="Z53" s="482"/>
      <c r="AA53" s="482"/>
      <c r="AB53" s="482"/>
      <c r="AC53" s="482"/>
      <c r="AJ53" s="483">
        <f t="shared" si="2"/>
        <v>0</v>
      </c>
      <c r="AK53" s="483">
        <f t="shared" si="3"/>
        <v>0</v>
      </c>
    </row>
    <row r="54" spans="1:37">
      <c r="A54" s="478">
        <v>90</v>
      </c>
      <c r="B54" s="478" t="str">
        <f t="shared" si="4"/>
        <v>2201100</v>
      </c>
      <c r="C54" s="478">
        <v>1100</v>
      </c>
      <c r="D54" s="509" cm="1">
        <f t="array" ref="D54">INDEX('Form A Mapping'!C:C, MATCH(1, (C54 &gt;= 'Form A Mapping'!A:A) * (C54 &lt;= 'Form A Mapping'!B:B), 0))</f>
        <v>7</v>
      </c>
      <c r="E54" s="500" t="s">
        <v>478</v>
      </c>
      <c r="F54" s="502">
        <f>54265.96</f>
        <v>54265.96</v>
      </c>
      <c r="G54" s="502">
        <f>3655</f>
        <v>3655</v>
      </c>
      <c r="H54" s="501"/>
      <c r="I54" s="501"/>
      <c r="J54" s="501"/>
      <c r="K54" s="502">
        <f>925</f>
        <v>925</v>
      </c>
      <c r="L54" s="501"/>
      <c r="M54" s="501"/>
      <c r="N54" s="502">
        <f>2937</f>
        <v>2937</v>
      </c>
      <c r="O54" s="501"/>
      <c r="P54" s="501"/>
      <c r="Q54" s="501"/>
      <c r="R54" s="501"/>
      <c r="S54" s="501"/>
      <c r="T54" s="501"/>
      <c r="U54" s="502">
        <f>3070</f>
        <v>3070</v>
      </c>
      <c r="V54" s="501"/>
      <c r="W54" s="501"/>
      <c r="X54" s="502">
        <f t="shared" si="10"/>
        <v>64852.959999999999</v>
      </c>
      <c r="Y54" s="502">
        <f t="shared" si="11"/>
        <v>64852.959999999999</v>
      </c>
      <c r="Z54" s="482"/>
      <c r="AA54" s="482"/>
      <c r="AB54" s="482"/>
      <c r="AC54" s="482"/>
      <c r="AJ54" s="483">
        <f t="shared" si="2"/>
        <v>54265.96</v>
      </c>
      <c r="AK54" s="483">
        <f t="shared" si="3"/>
        <v>10587</v>
      </c>
    </row>
    <row r="55" spans="1:37">
      <c r="A55" s="478">
        <v>90</v>
      </c>
      <c r="B55" s="478" t="str">
        <f t="shared" si="4"/>
        <v>2201210</v>
      </c>
      <c r="C55" s="478">
        <v>1210</v>
      </c>
      <c r="D55" s="509" cm="1">
        <f t="array" ref="D55">INDEX('Form A Mapping'!C:C, MATCH(1, (C55 &gt;= 'Form A Mapping'!A:A) * (C55 &lt;= 'Form A Mapping'!B:B), 0))</f>
        <v>8</v>
      </c>
      <c r="E55" s="500" t="s">
        <v>479</v>
      </c>
      <c r="F55" s="502">
        <f>11767.18</f>
        <v>11767.18</v>
      </c>
      <c r="G55" s="501"/>
      <c r="H55" s="501"/>
      <c r="I55" s="501"/>
      <c r="J55" s="501"/>
      <c r="K55" s="501"/>
      <c r="L55" s="501"/>
      <c r="M55" s="501"/>
      <c r="N55" s="501"/>
      <c r="O55" s="501"/>
      <c r="P55" s="501"/>
      <c r="Q55" s="501"/>
      <c r="R55" s="501"/>
      <c r="S55" s="501"/>
      <c r="T55" s="501"/>
      <c r="U55" s="501"/>
      <c r="V55" s="501"/>
      <c r="W55" s="501"/>
      <c r="X55" s="502">
        <f t="shared" si="10"/>
        <v>11767.18</v>
      </c>
      <c r="Y55" s="502">
        <f t="shared" si="11"/>
        <v>11767.18</v>
      </c>
      <c r="Z55" s="482"/>
      <c r="AA55" s="482"/>
      <c r="AB55" s="482"/>
      <c r="AC55" s="482"/>
      <c r="AJ55" s="483">
        <f t="shared" si="2"/>
        <v>11767.18</v>
      </c>
      <c r="AK55" s="483">
        <f t="shared" si="3"/>
        <v>0</v>
      </c>
    </row>
    <row r="56" spans="1:37">
      <c r="A56" s="478">
        <v>90</v>
      </c>
      <c r="B56" s="478" t="str">
        <f t="shared" si="4"/>
        <v>2201530</v>
      </c>
      <c r="C56" s="478">
        <v>1530</v>
      </c>
      <c r="D56" s="509" cm="1">
        <f t="array" ref="D56">INDEX('Form A Mapping'!C:C, MATCH(1, (C56 &gt;= 'Form A Mapping'!A:A) * (C56 &lt;= 'Form A Mapping'!B:B), 0))</f>
        <v>11</v>
      </c>
      <c r="E56" s="500" t="s">
        <v>587</v>
      </c>
      <c r="F56" s="502">
        <f>5643.45</f>
        <v>5643.45</v>
      </c>
      <c r="G56" s="501"/>
      <c r="H56" s="501"/>
      <c r="I56" s="501"/>
      <c r="J56" s="501"/>
      <c r="K56" s="501"/>
      <c r="L56" s="501"/>
      <c r="M56" s="501"/>
      <c r="N56" s="501"/>
      <c r="O56" s="501"/>
      <c r="P56" s="501"/>
      <c r="Q56" s="501"/>
      <c r="R56" s="501"/>
      <c r="S56" s="501"/>
      <c r="T56" s="501"/>
      <c r="U56" s="501"/>
      <c r="V56" s="501"/>
      <c r="W56" s="501"/>
      <c r="X56" s="502">
        <f t="shared" si="10"/>
        <v>5643.45</v>
      </c>
      <c r="Y56" s="502">
        <f t="shared" si="11"/>
        <v>5643.45</v>
      </c>
      <c r="Z56" s="482"/>
      <c r="AA56" s="482"/>
      <c r="AB56" s="482"/>
      <c r="AC56" s="482"/>
      <c r="AJ56" s="483">
        <f t="shared" si="2"/>
        <v>5643.45</v>
      </c>
      <c r="AK56" s="483">
        <f t="shared" si="3"/>
        <v>0</v>
      </c>
    </row>
    <row r="57" spans="1:37">
      <c r="A57" s="478">
        <v>90</v>
      </c>
      <c r="B57" s="478" t="str">
        <f t="shared" si="4"/>
        <v>2202120</v>
      </c>
      <c r="C57" s="478">
        <v>2120</v>
      </c>
      <c r="D57" s="509" cm="1">
        <f t="array" ref="D57">INDEX('Form A Mapping'!C:C, MATCH(1, (C57 &gt;= 'Form A Mapping'!A:A) * (C57 &lt;= 'Form A Mapping'!B:B), 0))</f>
        <v>13</v>
      </c>
      <c r="E57" s="500" t="s">
        <v>480</v>
      </c>
      <c r="F57" s="502">
        <f>-686.72</f>
        <v>-686.72</v>
      </c>
      <c r="G57" s="501"/>
      <c r="H57" s="501"/>
      <c r="I57" s="501"/>
      <c r="J57" s="501"/>
      <c r="K57" s="502">
        <f>1110</f>
        <v>1110</v>
      </c>
      <c r="L57" s="501"/>
      <c r="M57" s="501"/>
      <c r="N57" s="501"/>
      <c r="O57" s="501"/>
      <c r="P57" s="501"/>
      <c r="Q57" s="501"/>
      <c r="R57" s="501"/>
      <c r="S57" s="501"/>
      <c r="T57" s="501"/>
      <c r="U57" s="502">
        <f>3078</f>
        <v>3078</v>
      </c>
      <c r="V57" s="501"/>
      <c r="W57" s="501"/>
      <c r="X57" s="502">
        <f t="shared" si="10"/>
        <v>3501.2799999999997</v>
      </c>
      <c r="Y57" s="502">
        <f t="shared" si="11"/>
        <v>3501.2799999999997</v>
      </c>
      <c r="Z57" s="482"/>
      <c r="AA57" s="482"/>
      <c r="AB57" s="482"/>
      <c r="AC57" s="482"/>
      <c r="AJ57" s="483">
        <f t="shared" si="2"/>
        <v>-686.72000000000025</v>
      </c>
      <c r="AK57" s="483">
        <f t="shared" si="3"/>
        <v>4188</v>
      </c>
    </row>
    <row r="58" spans="1:37">
      <c r="A58" s="478">
        <v>90</v>
      </c>
      <c r="B58" s="478" t="str">
        <f t="shared" si="4"/>
        <v>2202190</v>
      </c>
      <c r="C58" s="478">
        <v>2190</v>
      </c>
      <c r="D58" s="509" cm="1">
        <f t="array" ref="D58">INDEX('Form A Mapping'!C:C, MATCH(1, (C58 &gt;= 'Form A Mapping'!A:A) * (C58 &lt;= 'Form A Mapping'!B:B), 0))</f>
        <v>13</v>
      </c>
      <c r="E58" s="500" t="s">
        <v>481</v>
      </c>
      <c r="F58" s="502">
        <f>1825.83</f>
        <v>1825.83</v>
      </c>
      <c r="G58" s="501"/>
      <c r="H58" s="501"/>
      <c r="I58" s="501"/>
      <c r="J58" s="501"/>
      <c r="K58" s="501"/>
      <c r="L58" s="501"/>
      <c r="M58" s="501"/>
      <c r="N58" s="501"/>
      <c r="O58" s="501"/>
      <c r="P58" s="501"/>
      <c r="Q58" s="501"/>
      <c r="R58" s="501"/>
      <c r="S58" s="501"/>
      <c r="T58" s="501"/>
      <c r="U58" s="501"/>
      <c r="V58" s="501"/>
      <c r="W58" s="501"/>
      <c r="X58" s="502">
        <f t="shared" si="10"/>
        <v>1825.83</v>
      </c>
      <c r="Y58" s="502">
        <f t="shared" si="11"/>
        <v>1825.83</v>
      </c>
      <c r="Z58" s="482"/>
      <c r="AA58" s="482"/>
      <c r="AB58" s="482"/>
      <c r="AC58" s="482"/>
      <c r="AJ58" s="483">
        <f t="shared" si="2"/>
        <v>1825.83</v>
      </c>
      <c r="AK58" s="483">
        <f t="shared" si="3"/>
        <v>0</v>
      </c>
    </row>
    <row r="59" spans="1:37">
      <c r="A59" s="478">
        <v>90</v>
      </c>
      <c r="B59" s="478" t="str">
        <f t="shared" si="4"/>
        <v>2202220</v>
      </c>
      <c r="C59" s="478">
        <v>2220</v>
      </c>
      <c r="D59" s="509" cm="1">
        <f t="array" ref="D59">INDEX('Form A Mapping'!C:C, MATCH(1, (C59 &gt;= 'Form A Mapping'!A:A) * (C59 &lt;= 'Form A Mapping'!B:B), 0))</f>
        <v>14</v>
      </c>
      <c r="E59" s="500" t="s">
        <v>482</v>
      </c>
      <c r="F59" s="502">
        <f>5561.53</f>
        <v>5561.53</v>
      </c>
      <c r="G59" s="501"/>
      <c r="H59" s="501"/>
      <c r="I59" s="501"/>
      <c r="J59" s="501"/>
      <c r="K59" s="501"/>
      <c r="L59" s="501"/>
      <c r="M59" s="501"/>
      <c r="N59" s="501"/>
      <c r="O59" s="501"/>
      <c r="P59" s="501"/>
      <c r="Q59" s="501"/>
      <c r="R59" s="501"/>
      <c r="S59" s="501"/>
      <c r="T59" s="501"/>
      <c r="U59" s="501"/>
      <c r="V59" s="501"/>
      <c r="W59" s="501"/>
      <c r="X59" s="502">
        <f t="shared" si="10"/>
        <v>5561.53</v>
      </c>
      <c r="Y59" s="502">
        <f t="shared" si="11"/>
        <v>5561.53</v>
      </c>
      <c r="Z59" s="482"/>
      <c r="AA59" s="482"/>
      <c r="AB59" s="482"/>
      <c r="AC59" s="482"/>
      <c r="AJ59" s="483">
        <f t="shared" si="2"/>
        <v>5561.53</v>
      </c>
      <c r="AK59" s="483">
        <f t="shared" si="3"/>
        <v>0</v>
      </c>
    </row>
    <row r="60" spans="1:37">
      <c r="A60" s="478">
        <v>90</v>
      </c>
      <c r="B60" s="478" t="str">
        <f t="shared" si="4"/>
        <v>2202400</v>
      </c>
      <c r="C60" s="478">
        <v>2400</v>
      </c>
      <c r="D60" s="509" cm="1">
        <f t="array" ref="D60">INDEX('Form A Mapping'!C:C, MATCH(1, (C60 &gt;= 'Form A Mapping'!A:A) * (C60 &lt;= 'Form A Mapping'!B:B), 0))</f>
        <v>16</v>
      </c>
      <c r="E60" s="500" t="s">
        <v>483</v>
      </c>
      <c r="F60" s="502">
        <f>14956.71</f>
        <v>14956.71</v>
      </c>
      <c r="G60" s="502">
        <f>8317</f>
        <v>8317</v>
      </c>
      <c r="H60" s="501"/>
      <c r="I60" s="501"/>
      <c r="J60" s="501"/>
      <c r="K60" s="502">
        <f>1001</f>
        <v>1001</v>
      </c>
      <c r="L60" s="501"/>
      <c r="M60" s="501"/>
      <c r="N60" s="501"/>
      <c r="O60" s="501"/>
      <c r="P60" s="501"/>
      <c r="Q60" s="501"/>
      <c r="R60" s="501"/>
      <c r="S60" s="501"/>
      <c r="T60" s="501"/>
      <c r="U60" s="502">
        <f>1782</f>
        <v>1782</v>
      </c>
      <c r="V60" s="501"/>
      <c r="W60" s="501"/>
      <c r="X60" s="502">
        <f t="shared" si="10"/>
        <v>26056.71</v>
      </c>
      <c r="Y60" s="502">
        <f t="shared" si="11"/>
        <v>26056.71</v>
      </c>
      <c r="Z60" s="482"/>
      <c r="AA60" s="482"/>
      <c r="AB60" s="482"/>
      <c r="AC60" s="482"/>
      <c r="AJ60" s="483">
        <f t="shared" si="2"/>
        <v>14956.71</v>
      </c>
      <c r="AK60" s="483">
        <f t="shared" si="3"/>
        <v>11100</v>
      </c>
    </row>
    <row r="61" spans="1:37">
      <c r="A61" s="478">
        <v>90</v>
      </c>
      <c r="B61" s="478" t="str">
        <f t="shared" si="4"/>
        <v>2202690</v>
      </c>
      <c r="C61" s="478">
        <v>2690</v>
      </c>
      <c r="D61" s="509" cm="1">
        <f t="array" ref="D61">INDEX('Form A Mapping'!C:C, MATCH(1, (C61 &gt;= 'Form A Mapping'!A:A) * (C61 &lt;= 'Form A Mapping'!B:B), 0))</f>
        <v>18</v>
      </c>
      <c r="E61" s="500" t="s">
        <v>484</v>
      </c>
      <c r="F61" s="502">
        <f>4321.63</f>
        <v>4321.63</v>
      </c>
      <c r="G61" s="501"/>
      <c r="H61" s="501"/>
      <c r="I61" s="501"/>
      <c r="J61" s="501"/>
      <c r="K61" s="501"/>
      <c r="L61" s="501"/>
      <c r="M61" s="501"/>
      <c r="N61" s="501"/>
      <c r="O61" s="501"/>
      <c r="P61" s="501"/>
      <c r="Q61" s="501"/>
      <c r="R61" s="501"/>
      <c r="S61" s="501"/>
      <c r="T61" s="501"/>
      <c r="U61" s="501"/>
      <c r="V61" s="501"/>
      <c r="W61" s="501"/>
      <c r="X61" s="502">
        <f t="shared" si="10"/>
        <v>4321.63</v>
      </c>
      <c r="Y61" s="502">
        <f t="shared" si="11"/>
        <v>4321.63</v>
      </c>
      <c r="Z61" s="482"/>
      <c r="AA61" s="482"/>
      <c r="AB61" s="482"/>
      <c r="AC61" s="482"/>
      <c r="AJ61" s="483">
        <f t="shared" si="2"/>
        <v>4321.63</v>
      </c>
      <c r="AK61" s="483">
        <f t="shared" si="3"/>
        <v>0</v>
      </c>
    </row>
    <row r="62" spans="1:37">
      <c r="E62" s="500" t="s">
        <v>485</v>
      </c>
      <c r="F62" s="503">
        <f t="shared" ref="F62:W62" si="14">((((((((F53)+(F54))+(F55))+(F56))+(F57))+(F58))+(F59))+(F60))+(F61)</f>
        <v>97655.57</v>
      </c>
      <c r="G62" s="503">
        <f t="shared" si="14"/>
        <v>11972</v>
      </c>
      <c r="H62" s="503">
        <f t="shared" si="14"/>
        <v>0</v>
      </c>
      <c r="I62" s="503">
        <f t="shared" si="14"/>
        <v>0</v>
      </c>
      <c r="J62" s="503">
        <f t="shared" si="14"/>
        <v>0</v>
      </c>
      <c r="K62" s="503">
        <f t="shared" si="14"/>
        <v>3036</v>
      </c>
      <c r="L62" s="503">
        <f t="shared" si="14"/>
        <v>0</v>
      </c>
      <c r="M62" s="503">
        <f t="shared" si="14"/>
        <v>0</v>
      </c>
      <c r="N62" s="503">
        <f t="shared" si="14"/>
        <v>2937</v>
      </c>
      <c r="O62" s="503">
        <f t="shared" si="14"/>
        <v>0</v>
      </c>
      <c r="P62" s="503">
        <f t="shared" si="14"/>
        <v>0</v>
      </c>
      <c r="Q62" s="503">
        <f t="shared" si="14"/>
        <v>0</v>
      </c>
      <c r="R62" s="503">
        <f t="shared" si="14"/>
        <v>0</v>
      </c>
      <c r="S62" s="503">
        <f t="shared" si="14"/>
        <v>0</v>
      </c>
      <c r="T62" s="503">
        <f t="shared" si="14"/>
        <v>0</v>
      </c>
      <c r="U62" s="503">
        <f t="shared" si="14"/>
        <v>7930</v>
      </c>
      <c r="V62" s="503">
        <f t="shared" si="14"/>
        <v>0</v>
      </c>
      <c r="W62" s="503">
        <f t="shared" si="14"/>
        <v>0</v>
      </c>
      <c r="X62" s="503">
        <f t="shared" si="10"/>
        <v>123530.57</v>
      </c>
      <c r="Y62" s="503">
        <f t="shared" si="11"/>
        <v>123530.57</v>
      </c>
      <c r="Z62" s="482"/>
      <c r="AA62" s="482"/>
      <c r="AB62" s="482"/>
      <c r="AC62" s="482"/>
      <c r="AJ62" s="483">
        <f t="shared" si="2"/>
        <v>97655.57</v>
      </c>
      <c r="AK62" s="483">
        <f t="shared" si="3"/>
        <v>25875</v>
      </c>
    </row>
    <row r="63" spans="1:37">
      <c r="A63" s="478">
        <v>91</v>
      </c>
      <c r="B63" s="478" t="str">
        <f t="shared" si="4"/>
        <v>2250000</v>
      </c>
      <c r="C63" s="478">
        <v>0</v>
      </c>
      <c r="D63" s="509" cm="1">
        <f t="array" ref="D63">INDEX('Form A Mapping'!C:C, MATCH(1, (C63 &gt;= 'Form A Mapping'!A:A) * (C63 &lt;= 'Form A Mapping'!B:B), 0))</f>
        <v>0</v>
      </c>
      <c r="E63" s="500" t="s">
        <v>486</v>
      </c>
      <c r="F63" s="501"/>
      <c r="G63" s="501"/>
      <c r="H63" s="501"/>
      <c r="I63" s="501"/>
      <c r="J63" s="501"/>
      <c r="K63" s="501"/>
      <c r="L63" s="501"/>
      <c r="M63" s="501"/>
      <c r="N63" s="501"/>
      <c r="O63" s="501"/>
      <c r="P63" s="501"/>
      <c r="Q63" s="501"/>
      <c r="R63" s="501"/>
      <c r="S63" s="501"/>
      <c r="T63" s="501"/>
      <c r="U63" s="501"/>
      <c r="V63" s="501"/>
      <c r="W63" s="501"/>
      <c r="X63" s="502">
        <f t="shared" si="10"/>
        <v>0</v>
      </c>
      <c r="Y63" s="502">
        <f t="shared" si="11"/>
        <v>0</v>
      </c>
      <c r="Z63" s="482"/>
      <c r="AA63" s="482"/>
      <c r="AB63" s="482"/>
      <c r="AC63" s="482"/>
      <c r="AJ63" s="483">
        <f t="shared" si="2"/>
        <v>0</v>
      </c>
      <c r="AK63" s="483">
        <f t="shared" si="3"/>
        <v>0</v>
      </c>
    </row>
    <row r="64" spans="1:37">
      <c r="A64" s="478">
        <v>91</v>
      </c>
      <c r="B64" s="478" t="str">
        <f t="shared" si="4"/>
        <v>2251100</v>
      </c>
      <c r="C64" s="478">
        <v>1100</v>
      </c>
      <c r="D64" s="509" cm="1">
        <f t="array" ref="D64">INDEX('Form A Mapping'!C:C, MATCH(1, (C64 &gt;= 'Form A Mapping'!A:A) * (C64 &lt;= 'Form A Mapping'!B:B), 0))</f>
        <v>7</v>
      </c>
      <c r="E64" s="500" t="s">
        <v>487</v>
      </c>
      <c r="F64" s="502">
        <f>12675.79</f>
        <v>12675.79</v>
      </c>
      <c r="G64" s="502">
        <f>855</f>
        <v>855</v>
      </c>
      <c r="H64" s="501"/>
      <c r="I64" s="501"/>
      <c r="J64" s="501"/>
      <c r="K64" s="502">
        <f>216</f>
        <v>216</v>
      </c>
      <c r="L64" s="501"/>
      <c r="M64" s="501"/>
      <c r="N64" s="502">
        <f>687</f>
        <v>687</v>
      </c>
      <c r="O64" s="501"/>
      <c r="P64" s="501"/>
      <c r="Q64" s="501"/>
      <c r="R64" s="501"/>
      <c r="S64" s="501"/>
      <c r="T64" s="501"/>
      <c r="U64" s="502">
        <f>718</f>
        <v>718</v>
      </c>
      <c r="V64" s="501"/>
      <c r="W64" s="501"/>
      <c r="X64" s="502">
        <f t="shared" si="10"/>
        <v>15151.79</v>
      </c>
      <c r="Y64" s="502">
        <f t="shared" si="11"/>
        <v>15151.79</v>
      </c>
      <c r="Z64" s="482"/>
      <c r="AA64" s="482"/>
      <c r="AB64" s="482"/>
      <c r="AC64" s="482"/>
      <c r="AJ64" s="483">
        <f t="shared" si="2"/>
        <v>12675.79</v>
      </c>
      <c r="AK64" s="483">
        <f t="shared" si="3"/>
        <v>2476</v>
      </c>
    </row>
    <row r="65" spans="1:37">
      <c r="A65" s="478">
        <v>91</v>
      </c>
      <c r="B65" s="478" t="str">
        <f t="shared" si="4"/>
        <v>2251210</v>
      </c>
      <c r="C65" s="478">
        <v>1210</v>
      </c>
      <c r="D65" s="509" cm="1">
        <f t="array" ref="D65">INDEX('Form A Mapping'!C:C, MATCH(1, (C65 &gt;= 'Form A Mapping'!A:A) * (C65 &lt;= 'Form A Mapping'!B:B), 0))</f>
        <v>8</v>
      </c>
      <c r="E65" s="500" t="s">
        <v>488</v>
      </c>
      <c r="F65" s="502">
        <f>2752.17</f>
        <v>2752.17</v>
      </c>
      <c r="G65" s="501"/>
      <c r="H65" s="501"/>
      <c r="I65" s="501"/>
      <c r="J65" s="501"/>
      <c r="K65" s="501"/>
      <c r="L65" s="501"/>
      <c r="M65" s="501"/>
      <c r="N65" s="501"/>
      <c r="O65" s="501"/>
      <c r="P65" s="501"/>
      <c r="Q65" s="501"/>
      <c r="R65" s="501"/>
      <c r="S65" s="501"/>
      <c r="T65" s="501"/>
      <c r="U65" s="501"/>
      <c r="V65" s="501"/>
      <c r="W65" s="501"/>
      <c r="X65" s="502">
        <f t="shared" si="10"/>
        <v>2752.17</v>
      </c>
      <c r="Y65" s="502">
        <f t="shared" si="11"/>
        <v>2752.17</v>
      </c>
      <c r="Z65" s="482"/>
      <c r="AA65" s="482"/>
      <c r="AB65" s="482"/>
      <c r="AC65" s="482"/>
      <c r="AJ65" s="483">
        <f t="shared" si="2"/>
        <v>2752.17</v>
      </c>
      <c r="AK65" s="483">
        <f t="shared" si="3"/>
        <v>0</v>
      </c>
    </row>
    <row r="66" spans="1:37">
      <c r="A66" s="478">
        <v>91</v>
      </c>
      <c r="B66" s="478" t="str">
        <f t="shared" si="4"/>
        <v>2251530</v>
      </c>
      <c r="C66" s="478">
        <v>1530</v>
      </c>
      <c r="D66" s="509" cm="1">
        <f t="array" ref="D66">INDEX('Form A Mapping'!C:C, MATCH(1, (C66 &gt;= 'Form A Mapping'!A:A) * (C66 &lt;= 'Form A Mapping'!B:B), 0))</f>
        <v>11</v>
      </c>
      <c r="E66" s="500" t="s">
        <v>588</v>
      </c>
      <c r="F66" s="502">
        <f>1319.9</f>
        <v>1319.9</v>
      </c>
      <c r="G66" s="501"/>
      <c r="H66" s="501"/>
      <c r="I66" s="501"/>
      <c r="J66" s="501"/>
      <c r="K66" s="501"/>
      <c r="L66" s="501"/>
      <c r="M66" s="501"/>
      <c r="N66" s="501"/>
      <c r="O66" s="501"/>
      <c r="P66" s="501"/>
      <c r="Q66" s="501"/>
      <c r="R66" s="501"/>
      <c r="S66" s="501"/>
      <c r="T66" s="501"/>
      <c r="U66" s="501"/>
      <c r="V66" s="501"/>
      <c r="W66" s="501"/>
      <c r="X66" s="502">
        <f t="shared" si="10"/>
        <v>1319.9</v>
      </c>
      <c r="Y66" s="502">
        <f t="shared" si="11"/>
        <v>1319.9</v>
      </c>
      <c r="Z66" s="482"/>
      <c r="AA66" s="482"/>
      <c r="AB66" s="482"/>
      <c r="AC66" s="482"/>
      <c r="AJ66" s="483">
        <f t="shared" si="2"/>
        <v>1319.9</v>
      </c>
      <c r="AK66" s="483">
        <f t="shared" si="3"/>
        <v>0</v>
      </c>
    </row>
    <row r="67" spans="1:37">
      <c r="A67" s="478">
        <v>91</v>
      </c>
      <c r="B67" s="478" t="str">
        <f t="shared" si="4"/>
        <v>2252120</v>
      </c>
      <c r="C67" s="478">
        <v>2120</v>
      </c>
      <c r="D67" s="509" cm="1">
        <f t="array" ref="D67">INDEX('Form A Mapping'!C:C, MATCH(1, (C67 &gt;= 'Form A Mapping'!A:A) * (C67 &lt;= 'Form A Mapping'!B:B), 0))</f>
        <v>13</v>
      </c>
      <c r="E67" s="500" t="s">
        <v>489</v>
      </c>
      <c r="F67" s="502">
        <f>-160.23</f>
        <v>-160.22999999999999</v>
      </c>
      <c r="G67" s="501"/>
      <c r="H67" s="501"/>
      <c r="I67" s="501"/>
      <c r="J67" s="501"/>
      <c r="K67" s="502">
        <f>259</f>
        <v>259</v>
      </c>
      <c r="L67" s="501"/>
      <c r="M67" s="501"/>
      <c r="N67" s="501"/>
      <c r="O67" s="501"/>
      <c r="P67" s="501"/>
      <c r="Q67" s="501"/>
      <c r="R67" s="501"/>
      <c r="S67" s="501"/>
      <c r="T67" s="501"/>
      <c r="U67" s="502">
        <f>720</f>
        <v>720</v>
      </c>
      <c r="V67" s="501"/>
      <c r="W67" s="501"/>
      <c r="X67" s="502">
        <f t="shared" si="10"/>
        <v>818.77</v>
      </c>
      <c r="Y67" s="502">
        <f t="shared" si="11"/>
        <v>818.77</v>
      </c>
      <c r="Z67" s="482"/>
      <c r="AA67" s="482"/>
      <c r="AB67" s="482"/>
      <c r="AC67" s="482"/>
      <c r="AJ67" s="483">
        <f t="shared" ref="AJ67:AJ130" si="15">Y67-AK67</f>
        <v>-160.23000000000002</v>
      </c>
      <c r="AK67" s="483">
        <f t="shared" ref="AK67:AK130" si="16">G67+I67+J67+K67+L67+M67+N67+Q67+T67+U67+V67+W67</f>
        <v>979</v>
      </c>
    </row>
    <row r="68" spans="1:37">
      <c r="A68" s="478">
        <v>91</v>
      </c>
      <c r="B68" s="478" t="str">
        <f t="shared" si="4"/>
        <v>2252190</v>
      </c>
      <c r="C68" s="478">
        <v>2190</v>
      </c>
      <c r="D68" s="509" cm="1">
        <f t="array" ref="D68">INDEX('Form A Mapping'!C:C, MATCH(1, (C68 &gt;= 'Form A Mapping'!A:A) * (C68 &lt;= 'Form A Mapping'!B:B), 0))</f>
        <v>13</v>
      </c>
      <c r="E68" s="500" t="s">
        <v>490</v>
      </c>
      <c r="F68" s="502">
        <f>427.07</f>
        <v>427.07</v>
      </c>
      <c r="G68" s="501"/>
      <c r="H68" s="501"/>
      <c r="I68" s="501"/>
      <c r="J68" s="501"/>
      <c r="K68" s="501"/>
      <c r="L68" s="501"/>
      <c r="M68" s="501"/>
      <c r="N68" s="501"/>
      <c r="O68" s="501"/>
      <c r="P68" s="501"/>
      <c r="Q68" s="501"/>
      <c r="R68" s="501"/>
      <c r="S68" s="501"/>
      <c r="T68" s="501"/>
      <c r="U68" s="501"/>
      <c r="V68" s="501"/>
      <c r="W68" s="501"/>
      <c r="X68" s="502">
        <f t="shared" si="10"/>
        <v>427.07</v>
      </c>
      <c r="Y68" s="502">
        <f t="shared" si="11"/>
        <v>427.07</v>
      </c>
      <c r="Z68" s="482"/>
      <c r="AA68" s="482"/>
      <c r="AB68" s="482"/>
      <c r="AC68" s="482"/>
      <c r="AJ68" s="483">
        <f t="shared" si="15"/>
        <v>427.07</v>
      </c>
      <c r="AK68" s="483">
        <f t="shared" si="16"/>
        <v>0</v>
      </c>
    </row>
    <row r="69" spans="1:37">
      <c r="A69" s="478">
        <v>91</v>
      </c>
      <c r="B69" s="478" t="str">
        <f t="shared" ref="B69:B132" si="17">LEFT(TRIM(E69), 7)</f>
        <v>2252220</v>
      </c>
      <c r="C69" s="478">
        <v>2220</v>
      </c>
      <c r="D69" s="509" cm="1">
        <f t="array" ref="D69">INDEX('Form A Mapping'!C:C, MATCH(1, (C69 &gt;= 'Form A Mapping'!A:A) * (C69 &lt;= 'Form A Mapping'!B:B), 0))</f>
        <v>14</v>
      </c>
      <c r="E69" s="500" t="s">
        <v>491</v>
      </c>
      <c r="F69" s="502">
        <f>1300.66</f>
        <v>1300.6600000000001</v>
      </c>
      <c r="G69" s="501"/>
      <c r="H69" s="501"/>
      <c r="I69" s="501"/>
      <c r="J69" s="501"/>
      <c r="K69" s="501"/>
      <c r="L69" s="501"/>
      <c r="M69" s="501"/>
      <c r="N69" s="501"/>
      <c r="O69" s="501"/>
      <c r="P69" s="501"/>
      <c r="Q69" s="501"/>
      <c r="R69" s="501"/>
      <c r="S69" s="501"/>
      <c r="T69" s="501"/>
      <c r="U69" s="501"/>
      <c r="V69" s="501"/>
      <c r="W69" s="501"/>
      <c r="X69" s="502">
        <f t="shared" si="10"/>
        <v>1300.6600000000001</v>
      </c>
      <c r="Y69" s="502">
        <f t="shared" si="11"/>
        <v>1300.6600000000001</v>
      </c>
      <c r="Z69" s="482"/>
      <c r="AA69" s="482"/>
      <c r="AB69" s="482"/>
      <c r="AC69" s="482"/>
      <c r="AJ69" s="483">
        <f t="shared" si="15"/>
        <v>1300.6600000000001</v>
      </c>
      <c r="AK69" s="483">
        <f t="shared" si="16"/>
        <v>0</v>
      </c>
    </row>
    <row r="70" spans="1:37">
      <c r="A70" s="478">
        <v>91</v>
      </c>
      <c r="B70" s="478" t="str">
        <f t="shared" si="17"/>
        <v>2252400</v>
      </c>
      <c r="C70" s="478">
        <v>2400</v>
      </c>
      <c r="D70" s="509" cm="1">
        <f t="array" ref="D70">INDEX('Form A Mapping'!C:C, MATCH(1, (C70 &gt;= 'Form A Mapping'!A:A) * (C70 &lt;= 'Form A Mapping'!B:B), 0))</f>
        <v>16</v>
      </c>
      <c r="E70" s="500" t="s">
        <v>492</v>
      </c>
      <c r="F70" s="502">
        <f>3495.52</f>
        <v>3495.52</v>
      </c>
      <c r="G70" s="502">
        <f>2038</f>
        <v>2038</v>
      </c>
      <c r="H70" s="501"/>
      <c r="I70" s="501"/>
      <c r="J70" s="501"/>
      <c r="K70" s="502">
        <f>234</f>
        <v>234</v>
      </c>
      <c r="L70" s="501"/>
      <c r="M70" s="501"/>
      <c r="N70" s="501"/>
      <c r="O70" s="501"/>
      <c r="P70" s="501"/>
      <c r="Q70" s="501"/>
      <c r="R70" s="501"/>
      <c r="S70" s="501"/>
      <c r="T70" s="501"/>
      <c r="U70" s="502">
        <f>417</f>
        <v>417</v>
      </c>
      <c r="V70" s="501"/>
      <c r="W70" s="501"/>
      <c r="X70" s="502">
        <f t="shared" si="10"/>
        <v>6184.52</v>
      </c>
      <c r="Y70" s="502">
        <f t="shared" si="11"/>
        <v>6184.52</v>
      </c>
      <c r="Z70" s="482"/>
      <c r="AA70" s="482"/>
      <c r="AB70" s="482"/>
      <c r="AC70" s="482"/>
      <c r="AJ70" s="483">
        <f t="shared" si="15"/>
        <v>3495.5200000000004</v>
      </c>
      <c r="AK70" s="483">
        <f t="shared" si="16"/>
        <v>2689</v>
      </c>
    </row>
    <row r="71" spans="1:37">
      <c r="A71" s="478">
        <v>91</v>
      </c>
      <c r="B71" s="478" t="str">
        <f t="shared" si="17"/>
        <v>2252690</v>
      </c>
      <c r="C71" s="478">
        <v>2690</v>
      </c>
      <c r="D71" s="509" cm="1">
        <f t="array" ref="D71">INDEX('Form A Mapping'!C:C, MATCH(1, (C71 &gt;= 'Form A Mapping'!A:A) * (C71 &lt;= 'Form A Mapping'!B:B), 0))</f>
        <v>18</v>
      </c>
      <c r="E71" s="500" t="s">
        <v>493</v>
      </c>
      <c r="F71" s="502">
        <f>1010.65</f>
        <v>1010.65</v>
      </c>
      <c r="G71" s="501"/>
      <c r="H71" s="501"/>
      <c r="I71" s="501"/>
      <c r="J71" s="501"/>
      <c r="K71" s="501"/>
      <c r="L71" s="501"/>
      <c r="M71" s="501"/>
      <c r="N71" s="501"/>
      <c r="O71" s="501"/>
      <c r="P71" s="501"/>
      <c r="Q71" s="501"/>
      <c r="R71" s="501"/>
      <c r="S71" s="501"/>
      <c r="T71" s="501"/>
      <c r="U71" s="501"/>
      <c r="V71" s="501"/>
      <c r="W71" s="501"/>
      <c r="X71" s="502">
        <f t="shared" si="10"/>
        <v>1010.65</v>
      </c>
      <c r="Y71" s="502">
        <f t="shared" si="11"/>
        <v>1010.65</v>
      </c>
      <c r="Z71" s="482"/>
      <c r="AA71" s="482"/>
      <c r="AB71" s="482"/>
      <c r="AC71" s="482"/>
      <c r="AJ71" s="483">
        <f t="shared" si="15"/>
        <v>1010.65</v>
      </c>
      <c r="AK71" s="483">
        <f t="shared" si="16"/>
        <v>0</v>
      </c>
    </row>
    <row r="72" spans="1:37">
      <c r="E72" s="500" t="s">
        <v>494</v>
      </c>
      <c r="F72" s="503">
        <f t="shared" ref="F72:W72" si="18">((((((((F63)+(F64))+(F65))+(F66))+(F67))+(F68))+(F69))+(F70))+(F71)</f>
        <v>22821.530000000002</v>
      </c>
      <c r="G72" s="503">
        <f t="shared" si="18"/>
        <v>2893</v>
      </c>
      <c r="H72" s="503">
        <f t="shared" si="18"/>
        <v>0</v>
      </c>
      <c r="I72" s="503">
        <f t="shared" si="18"/>
        <v>0</v>
      </c>
      <c r="J72" s="503">
        <f t="shared" si="18"/>
        <v>0</v>
      </c>
      <c r="K72" s="503">
        <f t="shared" si="18"/>
        <v>709</v>
      </c>
      <c r="L72" s="503">
        <f t="shared" si="18"/>
        <v>0</v>
      </c>
      <c r="M72" s="503">
        <f t="shared" si="18"/>
        <v>0</v>
      </c>
      <c r="N72" s="503">
        <f t="shared" si="18"/>
        <v>687</v>
      </c>
      <c r="O72" s="503">
        <f t="shared" si="18"/>
        <v>0</v>
      </c>
      <c r="P72" s="503">
        <f t="shared" si="18"/>
        <v>0</v>
      </c>
      <c r="Q72" s="503">
        <f t="shared" si="18"/>
        <v>0</v>
      </c>
      <c r="R72" s="503">
        <f t="shared" si="18"/>
        <v>0</v>
      </c>
      <c r="S72" s="503">
        <f t="shared" si="18"/>
        <v>0</v>
      </c>
      <c r="T72" s="503">
        <f t="shared" si="18"/>
        <v>0</v>
      </c>
      <c r="U72" s="503">
        <f t="shared" si="18"/>
        <v>1855</v>
      </c>
      <c r="V72" s="503">
        <f t="shared" si="18"/>
        <v>0</v>
      </c>
      <c r="W72" s="503">
        <f t="shared" si="18"/>
        <v>0</v>
      </c>
      <c r="X72" s="503">
        <f t="shared" si="10"/>
        <v>28965.530000000002</v>
      </c>
      <c r="Y72" s="503">
        <f t="shared" si="11"/>
        <v>28965.530000000002</v>
      </c>
      <c r="Z72" s="482"/>
      <c r="AA72" s="482"/>
      <c r="AB72" s="482"/>
      <c r="AC72" s="482"/>
      <c r="AJ72" s="483">
        <f t="shared" si="15"/>
        <v>22821.530000000002</v>
      </c>
      <c r="AK72" s="483">
        <f t="shared" si="16"/>
        <v>6144</v>
      </c>
    </row>
    <row r="73" spans="1:37">
      <c r="A73" s="478">
        <v>92</v>
      </c>
      <c r="B73" s="478" t="str">
        <f t="shared" si="17"/>
        <v>2390000</v>
      </c>
      <c r="C73" s="478">
        <v>0</v>
      </c>
      <c r="D73" s="509" cm="1">
        <f t="array" ref="D73">INDEX('Form A Mapping'!C:C, MATCH(1, (C73 &gt;= 'Form A Mapping'!A:A) * (C73 &lt;= 'Form A Mapping'!B:B), 0))</f>
        <v>0</v>
      </c>
      <c r="E73" s="500" t="s">
        <v>495</v>
      </c>
      <c r="F73" s="501"/>
      <c r="G73" s="501"/>
      <c r="H73" s="501"/>
      <c r="I73" s="501"/>
      <c r="J73" s="501"/>
      <c r="K73" s="501"/>
      <c r="L73" s="501"/>
      <c r="M73" s="501"/>
      <c r="N73" s="501"/>
      <c r="O73" s="501"/>
      <c r="P73" s="501"/>
      <c r="Q73" s="501"/>
      <c r="R73" s="501"/>
      <c r="S73" s="501"/>
      <c r="T73" s="501"/>
      <c r="U73" s="501"/>
      <c r="V73" s="501"/>
      <c r="W73" s="501"/>
      <c r="X73" s="502">
        <f t="shared" si="10"/>
        <v>0</v>
      </c>
      <c r="Y73" s="502">
        <f t="shared" si="11"/>
        <v>0</v>
      </c>
      <c r="Z73" s="482"/>
      <c r="AA73" s="482"/>
      <c r="AB73" s="482"/>
      <c r="AC73" s="482"/>
      <c r="AJ73" s="483">
        <f t="shared" si="15"/>
        <v>0</v>
      </c>
      <c r="AK73" s="483">
        <f t="shared" si="16"/>
        <v>0</v>
      </c>
    </row>
    <row r="74" spans="1:37">
      <c r="A74" s="478">
        <v>92</v>
      </c>
      <c r="B74" s="478" t="str">
        <f t="shared" si="17"/>
        <v>2391100</v>
      </c>
      <c r="C74" s="478">
        <v>1100</v>
      </c>
      <c r="D74" s="509" cm="1">
        <f t="array" ref="D74">INDEX('Form A Mapping'!C:C, MATCH(1, (C74 &gt;= 'Form A Mapping'!A:A) * (C74 &lt;= 'Form A Mapping'!B:B), 0))</f>
        <v>7</v>
      </c>
      <c r="E74" s="500" t="s">
        <v>496</v>
      </c>
      <c r="F74" s="502">
        <f>6682.06</f>
        <v>6682.06</v>
      </c>
      <c r="G74" s="502">
        <f>737</f>
        <v>737</v>
      </c>
      <c r="H74" s="501"/>
      <c r="I74" s="501"/>
      <c r="J74" s="501"/>
      <c r="K74" s="502">
        <f>112</f>
        <v>112</v>
      </c>
      <c r="L74" s="501"/>
      <c r="M74" s="501"/>
      <c r="N74" s="501"/>
      <c r="O74" s="501"/>
      <c r="P74" s="501"/>
      <c r="Q74" s="501"/>
      <c r="R74" s="501"/>
      <c r="S74" s="501"/>
      <c r="T74" s="501"/>
      <c r="U74" s="501"/>
      <c r="V74" s="501"/>
      <c r="W74" s="501"/>
      <c r="X74" s="502">
        <f t="shared" si="10"/>
        <v>7531.06</v>
      </c>
      <c r="Y74" s="502">
        <f t="shared" si="11"/>
        <v>7531.06</v>
      </c>
      <c r="Z74" s="482"/>
      <c r="AA74" s="482"/>
      <c r="AB74" s="482"/>
      <c r="AC74" s="482"/>
      <c r="AJ74" s="483">
        <f t="shared" si="15"/>
        <v>6682.06</v>
      </c>
      <c r="AK74" s="483">
        <f t="shared" si="16"/>
        <v>849</v>
      </c>
    </row>
    <row r="75" spans="1:37">
      <c r="A75" s="478">
        <v>92</v>
      </c>
      <c r="B75" s="478" t="str">
        <f t="shared" si="17"/>
        <v>2392120</v>
      </c>
      <c r="C75" s="478">
        <v>2120</v>
      </c>
      <c r="D75" s="509" cm="1">
        <f t="array" ref="D75">INDEX('Form A Mapping'!C:C, MATCH(1, (C75 &gt;= 'Form A Mapping'!A:A) * (C75 &lt;= 'Form A Mapping'!B:B), 0))</f>
        <v>13</v>
      </c>
      <c r="E75" s="500" t="s">
        <v>497</v>
      </c>
      <c r="F75" s="502">
        <f>-667.43</f>
        <v>-667.43</v>
      </c>
      <c r="G75" s="501"/>
      <c r="H75" s="501"/>
      <c r="I75" s="501"/>
      <c r="J75" s="501"/>
      <c r="K75" s="502">
        <f>760</f>
        <v>760</v>
      </c>
      <c r="L75" s="501"/>
      <c r="M75" s="501"/>
      <c r="N75" s="501"/>
      <c r="O75" s="501"/>
      <c r="P75" s="501"/>
      <c r="Q75" s="501"/>
      <c r="R75" s="501"/>
      <c r="S75" s="501"/>
      <c r="T75" s="501"/>
      <c r="U75" s="502">
        <f>1473</f>
        <v>1473</v>
      </c>
      <c r="V75" s="501"/>
      <c r="W75" s="501"/>
      <c r="X75" s="502">
        <f t="shared" si="10"/>
        <v>1565.5700000000002</v>
      </c>
      <c r="Y75" s="502">
        <f t="shared" si="11"/>
        <v>1565.5700000000002</v>
      </c>
      <c r="Z75" s="482"/>
      <c r="AA75" s="482"/>
      <c r="AB75" s="482"/>
      <c r="AC75" s="482"/>
      <c r="AJ75" s="483">
        <f t="shared" si="15"/>
        <v>-667.42999999999984</v>
      </c>
      <c r="AK75" s="483">
        <f t="shared" si="16"/>
        <v>2233</v>
      </c>
    </row>
    <row r="76" spans="1:37">
      <c r="A76" s="478">
        <v>92</v>
      </c>
      <c r="B76" s="478" t="str">
        <f t="shared" si="17"/>
        <v>2392220</v>
      </c>
      <c r="C76" s="478">
        <v>2220</v>
      </c>
      <c r="D76" s="509" cm="1">
        <f t="array" ref="D76">INDEX('Form A Mapping'!C:C, MATCH(1, (C76 &gt;= 'Form A Mapping'!A:A) * (C76 &lt;= 'Form A Mapping'!B:B), 0))</f>
        <v>14</v>
      </c>
      <c r="E76" s="500" t="s">
        <v>498</v>
      </c>
      <c r="F76" s="502">
        <f>2708.93</f>
        <v>2708.93</v>
      </c>
      <c r="G76" s="501"/>
      <c r="H76" s="501"/>
      <c r="I76" s="501"/>
      <c r="J76" s="501"/>
      <c r="K76" s="501"/>
      <c r="L76" s="501"/>
      <c r="M76" s="501"/>
      <c r="N76" s="501"/>
      <c r="O76" s="501"/>
      <c r="P76" s="501"/>
      <c r="Q76" s="501"/>
      <c r="R76" s="501"/>
      <c r="S76" s="501"/>
      <c r="T76" s="501"/>
      <c r="U76" s="501"/>
      <c r="V76" s="501"/>
      <c r="W76" s="501"/>
      <c r="X76" s="502">
        <f t="shared" si="10"/>
        <v>2708.93</v>
      </c>
      <c r="Y76" s="502">
        <f t="shared" si="11"/>
        <v>2708.93</v>
      </c>
      <c r="Z76" s="482"/>
      <c r="AA76" s="482"/>
      <c r="AB76" s="482"/>
      <c r="AC76" s="482"/>
      <c r="AJ76" s="483">
        <f t="shared" si="15"/>
        <v>2708.93</v>
      </c>
      <c r="AK76" s="483">
        <f t="shared" si="16"/>
        <v>0</v>
      </c>
    </row>
    <row r="77" spans="1:37">
      <c r="A77" s="478">
        <v>92</v>
      </c>
      <c r="B77" s="478" t="str">
        <f t="shared" si="17"/>
        <v>2392400</v>
      </c>
      <c r="C77" s="478">
        <v>2400</v>
      </c>
      <c r="D77" s="509" cm="1">
        <f t="array" ref="D77">INDEX('Form A Mapping'!C:C, MATCH(1, (C77 &gt;= 'Form A Mapping'!A:A) * (C77 &lt;= 'Form A Mapping'!B:B), 0))</f>
        <v>16</v>
      </c>
      <c r="E77" s="500" t="s">
        <v>499</v>
      </c>
      <c r="F77" s="502">
        <f>4122.23</f>
        <v>4122.2299999999996</v>
      </c>
      <c r="G77" s="502">
        <f>2529</f>
        <v>2529</v>
      </c>
      <c r="H77" s="501"/>
      <c r="I77" s="501"/>
      <c r="J77" s="501"/>
      <c r="K77" s="501"/>
      <c r="L77" s="501"/>
      <c r="M77" s="501"/>
      <c r="N77" s="501"/>
      <c r="O77" s="501"/>
      <c r="P77" s="501"/>
      <c r="Q77" s="501"/>
      <c r="R77" s="501"/>
      <c r="S77" s="501"/>
      <c r="T77" s="501"/>
      <c r="U77" s="502">
        <f>1417</f>
        <v>1417</v>
      </c>
      <c r="V77" s="501"/>
      <c r="W77" s="501"/>
      <c r="X77" s="502">
        <f t="shared" si="10"/>
        <v>8068.23</v>
      </c>
      <c r="Y77" s="502">
        <f t="shared" si="11"/>
        <v>8068.23</v>
      </c>
      <c r="Z77" s="482"/>
      <c r="AA77" s="482"/>
      <c r="AB77" s="482"/>
      <c r="AC77" s="482"/>
      <c r="AJ77" s="483">
        <f t="shared" si="15"/>
        <v>4122.2299999999996</v>
      </c>
      <c r="AK77" s="483">
        <f t="shared" si="16"/>
        <v>3946</v>
      </c>
    </row>
    <row r="78" spans="1:37">
      <c r="E78" s="500" t="s">
        <v>500</v>
      </c>
      <c r="F78" s="503">
        <f t="shared" ref="F78:W78" si="19">((((F73)+(F74))+(F75))+(F76))+(F77)</f>
        <v>12845.789999999999</v>
      </c>
      <c r="G78" s="503">
        <f t="shared" si="19"/>
        <v>3266</v>
      </c>
      <c r="H78" s="503">
        <f t="shared" si="19"/>
        <v>0</v>
      </c>
      <c r="I78" s="503">
        <f t="shared" si="19"/>
        <v>0</v>
      </c>
      <c r="J78" s="503">
        <f t="shared" si="19"/>
        <v>0</v>
      </c>
      <c r="K78" s="503">
        <f t="shared" si="19"/>
        <v>872</v>
      </c>
      <c r="L78" s="503">
        <f t="shared" si="19"/>
        <v>0</v>
      </c>
      <c r="M78" s="503">
        <f t="shared" si="19"/>
        <v>0</v>
      </c>
      <c r="N78" s="503">
        <f t="shared" si="19"/>
        <v>0</v>
      </c>
      <c r="O78" s="503">
        <f t="shared" si="19"/>
        <v>0</v>
      </c>
      <c r="P78" s="503">
        <f t="shared" si="19"/>
        <v>0</v>
      </c>
      <c r="Q78" s="503">
        <f t="shared" si="19"/>
        <v>0</v>
      </c>
      <c r="R78" s="503">
        <f t="shared" si="19"/>
        <v>0</v>
      </c>
      <c r="S78" s="503">
        <f t="shared" si="19"/>
        <v>0</v>
      </c>
      <c r="T78" s="503">
        <f t="shared" si="19"/>
        <v>0</v>
      </c>
      <c r="U78" s="503">
        <f t="shared" si="19"/>
        <v>2890</v>
      </c>
      <c r="V78" s="503">
        <f t="shared" si="19"/>
        <v>0</v>
      </c>
      <c r="W78" s="503">
        <f t="shared" si="19"/>
        <v>0</v>
      </c>
      <c r="X78" s="503">
        <f t="shared" si="10"/>
        <v>19873.79</v>
      </c>
      <c r="Y78" s="503">
        <f t="shared" si="11"/>
        <v>19873.79</v>
      </c>
      <c r="Z78" s="482"/>
      <c r="AA78" s="482"/>
      <c r="AB78" s="482"/>
      <c r="AC78" s="482"/>
      <c r="AJ78" s="483">
        <f t="shared" si="15"/>
        <v>12845.79</v>
      </c>
      <c r="AK78" s="483">
        <f t="shared" si="16"/>
        <v>7028</v>
      </c>
    </row>
    <row r="79" spans="1:37">
      <c r="A79" s="478">
        <v>93</v>
      </c>
      <c r="B79" s="478" t="str">
        <f t="shared" si="17"/>
        <v>2500000</v>
      </c>
      <c r="C79" s="478">
        <v>0</v>
      </c>
      <c r="D79" s="509" cm="1">
        <f t="array" ref="D79">INDEX('Form A Mapping'!C:C, MATCH(1, (C79 &gt;= 'Form A Mapping'!A:A) * (C79 &lt;= 'Form A Mapping'!B:B), 0))</f>
        <v>0</v>
      </c>
      <c r="E79" s="500" t="s">
        <v>501</v>
      </c>
      <c r="F79" s="501"/>
      <c r="G79" s="501"/>
      <c r="H79" s="501"/>
      <c r="I79" s="501"/>
      <c r="J79" s="501"/>
      <c r="K79" s="501"/>
      <c r="L79" s="501"/>
      <c r="M79" s="501"/>
      <c r="N79" s="501"/>
      <c r="O79" s="501"/>
      <c r="P79" s="501"/>
      <c r="Q79" s="501"/>
      <c r="R79" s="501"/>
      <c r="S79" s="501"/>
      <c r="T79" s="501"/>
      <c r="U79" s="501"/>
      <c r="V79" s="501"/>
      <c r="W79" s="501"/>
      <c r="X79" s="502">
        <f t="shared" si="10"/>
        <v>0</v>
      </c>
      <c r="Y79" s="502">
        <f t="shared" si="11"/>
        <v>0</v>
      </c>
      <c r="Z79" s="482"/>
      <c r="AA79" s="482"/>
      <c r="AB79" s="482"/>
      <c r="AC79" s="482"/>
      <c r="AJ79" s="483">
        <f t="shared" si="15"/>
        <v>0</v>
      </c>
      <c r="AK79" s="483">
        <f t="shared" si="16"/>
        <v>0</v>
      </c>
    </row>
    <row r="80" spans="1:37">
      <c r="A80" s="478">
        <v>93</v>
      </c>
      <c r="B80" s="478" t="str">
        <f t="shared" si="17"/>
        <v>2501100</v>
      </c>
      <c r="C80" s="478">
        <v>1100</v>
      </c>
      <c r="D80" s="509" cm="1">
        <f t="array" ref="D80">INDEX('Form A Mapping'!C:C, MATCH(1, (C80 &gt;= 'Form A Mapping'!A:A) * (C80 &lt;= 'Form A Mapping'!B:B), 0))</f>
        <v>7</v>
      </c>
      <c r="E80" s="500" t="s">
        <v>502</v>
      </c>
      <c r="F80" s="502">
        <f>4133.31</f>
        <v>4133.3100000000004</v>
      </c>
      <c r="G80" s="501"/>
      <c r="H80" s="501"/>
      <c r="I80" s="501"/>
      <c r="J80" s="501"/>
      <c r="K80" s="501"/>
      <c r="L80" s="501"/>
      <c r="M80" s="501"/>
      <c r="N80" s="501"/>
      <c r="O80" s="501"/>
      <c r="P80" s="501"/>
      <c r="Q80" s="501"/>
      <c r="R80" s="501"/>
      <c r="S80" s="501"/>
      <c r="T80" s="501"/>
      <c r="U80" s="501"/>
      <c r="V80" s="501"/>
      <c r="W80" s="501"/>
      <c r="X80" s="502">
        <f t="shared" si="10"/>
        <v>4133.3100000000004</v>
      </c>
      <c r="Y80" s="502">
        <f t="shared" si="11"/>
        <v>4133.3100000000004</v>
      </c>
      <c r="Z80" s="482"/>
      <c r="AA80" s="482"/>
      <c r="AB80" s="482"/>
      <c r="AC80" s="482"/>
      <c r="AJ80" s="483">
        <f t="shared" si="15"/>
        <v>4133.3100000000004</v>
      </c>
      <c r="AK80" s="483">
        <f t="shared" si="16"/>
        <v>0</v>
      </c>
    </row>
    <row r="81" spans="1:37">
      <c r="A81" s="478">
        <v>93</v>
      </c>
      <c r="B81" s="478" t="str">
        <f t="shared" si="17"/>
        <v>2501210</v>
      </c>
      <c r="C81" s="478">
        <v>1210</v>
      </c>
      <c r="D81" s="509" cm="1">
        <f t="array" ref="D81">INDEX('Form A Mapping'!C:C, MATCH(1, (C81 &gt;= 'Form A Mapping'!A:A) * (C81 &lt;= 'Form A Mapping'!B:B), 0))</f>
        <v>8</v>
      </c>
      <c r="E81" s="500" t="s">
        <v>503</v>
      </c>
      <c r="F81" s="502">
        <f>751.54</f>
        <v>751.54</v>
      </c>
      <c r="G81" s="501"/>
      <c r="H81" s="501"/>
      <c r="I81" s="501"/>
      <c r="J81" s="501"/>
      <c r="K81" s="501"/>
      <c r="L81" s="501"/>
      <c r="M81" s="501"/>
      <c r="N81" s="501"/>
      <c r="O81" s="501"/>
      <c r="P81" s="501"/>
      <c r="Q81" s="501"/>
      <c r="R81" s="501"/>
      <c r="S81" s="501"/>
      <c r="T81" s="501"/>
      <c r="U81" s="501"/>
      <c r="V81" s="501"/>
      <c r="W81" s="501"/>
      <c r="X81" s="502">
        <f t="shared" si="10"/>
        <v>751.54</v>
      </c>
      <c r="Y81" s="502">
        <f t="shared" si="11"/>
        <v>751.54</v>
      </c>
      <c r="Z81" s="482"/>
      <c r="AA81" s="482"/>
      <c r="AB81" s="482"/>
      <c r="AC81" s="482"/>
      <c r="AJ81" s="483">
        <f t="shared" si="15"/>
        <v>751.54</v>
      </c>
      <c r="AK81" s="483">
        <f t="shared" si="16"/>
        <v>0</v>
      </c>
    </row>
    <row r="82" spans="1:37">
      <c r="A82" s="478">
        <v>93</v>
      </c>
      <c r="B82" s="478" t="str">
        <f t="shared" si="17"/>
        <v>2501530</v>
      </c>
      <c r="C82" s="478">
        <v>1530</v>
      </c>
      <c r="D82" s="509" cm="1">
        <f t="array" ref="D82">INDEX('Form A Mapping'!C:C, MATCH(1, (C82 &gt;= 'Form A Mapping'!A:A) * (C82 &lt;= 'Form A Mapping'!B:B), 0))</f>
        <v>11</v>
      </c>
      <c r="E82" s="500" t="s">
        <v>589</v>
      </c>
      <c r="F82" s="502">
        <f>563.64</f>
        <v>563.64</v>
      </c>
      <c r="G82" s="501"/>
      <c r="H82" s="501"/>
      <c r="I82" s="501"/>
      <c r="J82" s="501"/>
      <c r="K82" s="501"/>
      <c r="L82" s="501"/>
      <c r="M82" s="501"/>
      <c r="N82" s="501"/>
      <c r="O82" s="501"/>
      <c r="P82" s="501"/>
      <c r="Q82" s="501"/>
      <c r="R82" s="501"/>
      <c r="S82" s="501"/>
      <c r="T82" s="501"/>
      <c r="U82" s="501"/>
      <c r="V82" s="501"/>
      <c r="W82" s="501"/>
      <c r="X82" s="502">
        <f t="shared" si="10"/>
        <v>563.64</v>
      </c>
      <c r="Y82" s="502">
        <f t="shared" si="11"/>
        <v>563.64</v>
      </c>
      <c r="Z82" s="482"/>
      <c r="AA82" s="482"/>
      <c r="AB82" s="482"/>
      <c r="AC82" s="482"/>
      <c r="AJ82" s="483">
        <f t="shared" si="15"/>
        <v>563.64</v>
      </c>
      <c r="AK82" s="483">
        <f t="shared" si="16"/>
        <v>0</v>
      </c>
    </row>
    <row r="83" spans="1:37">
      <c r="A83" s="478">
        <v>93</v>
      </c>
      <c r="B83" s="478" t="str">
        <f t="shared" si="17"/>
        <v>2502120</v>
      </c>
      <c r="C83" s="478">
        <v>2120</v>
      </c>
      <c r="D83" s="509" cm="1">
        <f t="array" ref="D83">INDEX('Form A Mapping'!C:C, MATCH(1, (C83 &gt;= 'Form A Mapping'!A:A) * (C83 &lt;= 'Form A Mapping'!B:B), 0))</f>
        <v>13</v>
      </c>
      <c r="E83" s="500" t="s">
        <v>504</v>
      </c>
      <c r="F83" s="502">
        <f>187.88</f>
        <v>187.88</v>
      </c>
      <c r="G83" s="501"/>
      <c r="H83" s="501"/>
      <c r="I83" s="501"/>
      <c r="J83" s="501"/>
      <c r="K83" s="501"/>
      <c r="L83" s="501"/>
      <c r="M83" s="501"/>
      <c r="N83" s="501"/>
      <c r="O83" s="501"/>
      <c r="P83" s="501"/>
      <c r="Q83" s="501"/>
      <c r="R83" s="501"/>
      <c r="S83" s="501"/>
      <c r="T83" s="501"/>
      <c r="U83" s="501"/>
      <c r="V83" s="501"/>
      <c r="W83" s="501"/>
      <c r="X83" s="502">
        <f t="shared" si="10"/>
        <v>187.88</v>
      </c>
      <c r="Y83" s="502">
        <f t="shared" si="11"/>
        <v>187.88</v>
      </c>
      <c r="Z83" s="482"/>
      <c r="AA83" s="482"/>
      <c r="AB83" s="482"/>
      <c r="AC83" s="482"/>
      <c r="AJ83" s="483">
        <f t="shared" si="15"/>
        <v>187.88</v>
      </c>
      <c r="AK83" s="483">
        <f t="shared" si="16"/>
        <v>0</v>
      </c>
    </row>
    <row r="84" spans="1:37">
      <c r="A84" s="478">
        <v>93</v>
      </c>
      <c r="B84" s="478" t="str">
        <f t="shared" si="17"/>
        <v>2502190</v>
      </c>
      <c r="C84" s="478">
        <v>2190</v>
      </c>
      <c r="D84" s="509" cm="1">
        <f t="array" ref="D84">INDEX('Form A Mapping'!C:C, MATCH(1, (C84 &gt;= 'Form A Mapping'!A:A) * (C84 &lt;= 'Form A Mapping'!B:B), 0))</f>
        <v>13</v>
      </c>
      <c r="E84" s="500" t="s">
        <v>505</v>
      </c>
      <c r="F84" s="502">
        <f>62.62</f>
        <v>62.62</v>
      </c>
      <c r="G84" s="501"/>
      <c r="H84" s="501"/>
      <c r="I84" s="501"/>
      <c r="J84" s="501"/>
      <c r="K84" s="501"/>
      <c r="L84" s="501"/>
      <c r="M84" s="501"/>
      <c r="N84" s="501"/>
      <c r="O84" s="501"/>
      <c r="P84" s="501"/>
      <c r="Q84" s="501"/>
      <c r="R84" s="501"/>
      <c r="S84" s="501"/>
      <c r="T84" s="501"/>
      <c r="U84" s="501"/>
      <c r="V84" s="501"/>
      <c r="W84" s="501"/>
      <c r="X84" s="502">
        <f t="shared" si="10"/>
        <v>62.62</v>
      </c>
      <c r="Y84" s="502">
        <f t="shared" si="11"/>
        <v>62.62</v>
      </c>
      <c r="Z84" s="482"/>
      <c r="AA84" s="482"/>
      <c r="AB84" s="482"/>
      <c r="AC84" s="482"/>
      <c r="AJ84" s="483">
        <f t="shared" si="15"/>
        <v>62.62</v>
      </c>
      <c r="AK84" s="483">
        <f t="shared" si="16"/>
        <v>0</v>
      </c>
    </row>
    <row r="85" spans="1:37">
      <c r="A85" s="478">
        <v>93</v>
      </c>
      <c r="B85" s="478" t="str">
        <f t="shared" si="17"/>
        <v>2502220</v>
      </c>
      <c r="C85" s="478">
        <v>2220</v>
      </c>
      <c r="D85" s="509" cm="1">
        <f t="array" ref="D85">INDEX('Form A Mapping'!C:C, MATCH(1, (C85 &gt;= 'Form A Mapping'!A:A) * (C85 &lt;= 'Form A Mapping'!B:B), 0))</f>
        <v>14</v>
      </c>
      <c r="E85" s="500" t="s">
        <v>506</v>
      </c>
      <c r="F85" s="502">
        <f>313.14</f>
        <v>313.14</v>
      </c>
      <c r="G85" s="501"/>
      <c r="H85" s="501"/>
      <c r="I85" s="501"/>
      <c r="J85" s="501"/>
      <c r="K85" s="501"/>
      <c r="L85" s="501"/>
      <c r="M85" s="501"/>
      <c r="N85" s="501"/>
      <c r="O85" s="501"/>
      <c r="P85" s="501"/>
      <c r="Q85" s="501"/>
      <c r="R85" s="501"/>
      <c r="S85" s="501"/>
      <c r="T85" s="501"/>
      <c r="U85" s="501"/>
      <c r="V85" s="501"/>
      <c r="W85" s="501"/>
      <c r="X85" s="502">
        <f t="shared" si="10"/>
        <v>313.14</v>
      </c>
      <c r="Y85" s="502">
        <f t="shared" si="11"/>
        <v>313.14</v>
      </c>
      <c r="Z85" s="482"/>
      <c r="AA85" s="482"/>
      <c r="AB85" s="482"/>
      <c r="AC85" s="482"/>
      <c r="AJ85" s="483">
        <f t="shared" si="15"/>
        <v>313.14</v>
      </c>
      <c r="AK85" s="483">
        <f t="shared" si="16"/>
        <v>0</v>
      </c>
    </row>
    <row r="86" spans="1:37">
      <c r="A86" s="478">
        <v>93</v>
      </c>
      <c r="B86" s="478" t="str">
        <f t="shared" si="17"/>
        <v>2502400</v>
      </c>
      <c r="C86" s="478">
        <v>2400</v>
      </c>
      <c r="D86" s="509" cm="1">
        <f t="array" ref="D86">INDEX('Form A Mapping'!C:C, MATCH(1, (C86 &gt;= 'Form A Mapping'!A:A) * (C86 &lt;= 'Form A Mapping'!B:B), 0))</f>
        <v>16</v>
      </c>
      <c r="E86" s="500" t="s">
        <v>507</v>
      </c>
      <c r="F86" s="502">
        <f>839.04</f>
        <v>839.04</v>
      </c>
      <c r="G86" s="501"/>
      <c r="H86" s="501"/>
      <c r="I86" s="501"/>
      <c r="J86" s="501"/>
      <c r="K86" s="501"/>
      <c r="L86" s="501"/>
      <c r="M86" s="501"/>
      <c r="N86" s="501"/>
      <c r="O86" s="501"/>
      <c r="P86" s="501"/>
      <c r="Q86" s="501"/>
      <c r="R86" s="501"/>
      <c r="S86" s="501"/>
      <c r="T86" s="501"/>
      <c r="U86" s="501"/>
      <c r="V86" s="501"/>
      <c r="W86" s="501"/>
      <c r="X86" s="502">
        <f t="shared" si="10"/>
        <v>839.04</v>
      </c>
      <c r="Y86" s="502">
        <f t="shared" si="11"/>
        <v>839.04</v>
      </c>
      <c r="Z86" s="482"/>
      <c r="AA86" s="482"/>
      <c r="AB86" s="482"/>
      <c r="AC86" s="482"/>
      <c r="AJ86" s="483">
        <f t="shared" si="15"/>
        <v>839.04</v>
      </c>
      <c r="AK86" s="483">
        <f t="shared" si="16"/>
        <v>0</v>
      </c>
    </row>
    <row r="87" spans="1:37">
      <c r="A87" s="478">
        <v>93</v>
      </c>
      <c r="B87" s="478" t="str">
        <f t="shared" si="17"/>
        <v>2502690</v>
      </c>
      <c r="C87" s="478">
        <v>2690</v>
      </c>
      <c r="D87" s="509" cm="1">
        <f t="array" ref="D87">INDEX('Form A Mapping'!C:C, MATCH(1, (C87 &gt;= 'Form A Mapping'!A:A) * (C87 &lt;= 'Form A Mapping'!B:B), 0))</f>
        <v>18</v>
      </c>
      <c r="E87" s="500" t="s">
        <v>508</v>
      </c>
      <c r="F87" s="502">
        <f>751.5</f>
        <v>751.5</v>
      </c>
      <c r="G87" s="501"/>
      <c r="H87" s="501"/>
      <c r="I87" s="501"/>
      <c r="J87" s="501"/>
      <c r="K87" s="501"/>
      <c r="L87" s="501"/>
      <c r="M87" s="501"/>
      <c r="N87" s="501"/>
      <c r="O87" s="501"/>
      <c r="P87" s="501"/>
      <c r="Q87" s="501"/>
      <c r="R87" s="501"/>
      <c r="S87" s="501"/>
      <c r="T87" s="501"/>
      <c r="U87" s="501"/>
      <c r="V87" s="501"/>
      <c r="W87" s="501"/>
      <c r="X87" s="502">
        <f t="shared" si="10"/>
        <v>751.5</v>
      </c>
      <c r="Y87" s="502">
        <f t="shared" si="11"/>
        <v>751.5</v>
      </c>
      <c r="Z87" s="482"/>
      <c r="AA87" s="482"/>
      <c r="AB87" s="482"/>
      <c r="AC87" s="482"/>
      <c r="AJ87" s="483">
        <f t="shared" si="15"/>
        <v>751.5</v>
      </c>
      <c r="AK87" s="483">
        <f t="shared" si="16"/>
        <v>0</v>
      </c>
    </row>
    <row r="88" spans="1:37">
      <c r="E88" s="500" t="s">
        <v>509</v>
      </c>
      <c r="F88" s="503">
        <f t="shared" ref="F88:W88" si="20">((((((((F79)+(F80))+(F81))+(F82))+(F83))+(F84))+(F85))+(F86))+(F87)</f>
        <v>7602.670000000001</v>
      </c>
      <c r="G88" s="503">
        <f t="shared" si="20"/>
        <v>0</v>
      </c>
      <c r="H88" s="503">
        <f t="shared" si="20"/>
        <v>0</v>
      </c>
      <c r="I88" s="503">
        <f t="shared" si="20"/>
        <v>0</v>
      </c>
      <c r="J88" s="503">
        <f t="shared" si="20"/>
        <v>0</v>
      </c>
      <c r="K88" s="503">
        <f t="shared" si="20"/>
        <v>0</v>
      </c>
      <c r="L88" s="503">
        <f t="shared" si="20"/>
        <v>0</v>
      </c>
      <c r="M88" s="503">
        <f t="shared" si="20"/>
        <v>0</v>
      </c>
      <c r="N88" s="503">
        <f t="shared" si="20"/>
        <v>0</v>
      </c>
      <c r="O88" s="503">
        <f t="shared" si="20"/>
        <v>0</v>
      </c>
      <c r="P88" s="503">
        <f t="shared" si="20"/>
        <v>0</v>
      </c>
      <c r="Q88" s="503">
        <f t="shared" si="20"/>
        <v>0</v>
      </c>
      <c r="R88" s="503">
        <f t="shared" si="20"/>
        <v>0</v>
      </c>
      <c r="S88" s="503">
        <f t="shared" si="20"/>
        <v>0</v>
      </c>
      <c r="T88" s="503">
        <f t="shared" si="20"/>
        <v>0</v>
      </c>
      <c r="U88" s="503">
        <f t="shared" si="20"/>
        <v>0</v>
      </c>
      <c r="V88" s="503">
        <f t="shared" si="20"/>
        <v>0</v>
      </c>
      <c r="W88" s="503">
        <f t="shared" si="20"/>
        <v>0</v>
      </c>
      <c r="X88" s="503">
        <f t="shared" si="10"/>
        <v>7602.670000000001</v>
      </c>
      <c r="Y88" s="503">
        <f t="shared" si="11"/>
        <v>7602.670000000001</v>
      </c>
      <c r="Z88" s="482"/>
      <c r="AA88" s="482"/>
      <c r="AB88" s="482"/>
      <c r="AC88" s="482"/>
      <c r="AJ88" s="483">
        <f t="shared" si="15"/>
        <v>7602.670000000001</v>
      </c>
      <c r="AK88" s="483">
        <f t="shared" si="16"/>
        <v>0</v>
      </c>
    </row>
    <row r="89" spans="1:37">
      <c r="A89" s="478">
        <v>95</v>
      </c>
      <c r="B89" s="478" t="str">
        <f t="shared" si="17"/>
        <v>2600000</v>
      </c>
      <c r="C89" s="478">
        <v>0</v>
      </c>
      <c r="D89" s="509" cm="1">
        <f t="array" ref="D89">INDEX('Form A Mapping'!C:C, MATCH(1, (C89 &gt;= 'Form A Mapping'!A:A) * (C89 &lt;= 'Form A Mapping'!B:B), 0))</f>
        <v>0</v>
      </c>
      <c r="E89" s="500" t="s">
        <v>272</v>
      </c>
      <c r="F89" s="501"/>
      <c r="G89" s="501"/>
      <c r="H89" s="501"/>
      <c r="I89" s="501"/>
      <c r="J89" s="501"/>
      <c r="K89" s="501"/>
      <c r="L89" s="501"/>
      <c r="M89" s="501"/>
      <c r="N89" s="501"/>
      <c r="O89" s="501"/>
      <c r="P89" s="501"/>
      <c r="Q89" s="501"/>
      <c r="R89" s="501"/>
      <c r="S89" s="501"/>
      <c r="T89" s="501"/>
      <c r="U89" s="501"/>
      <c r="V89" s="501"/>
      <c r="W89" s="501"/>
      <c r="X89" s="502">
        <f t="shared" si="10"/>
        <v>0</v>
      </c>
      <c r="Y89" s="502">
        <f t="shared" si="11"/>
        <v>0</v>
      </c>
      <c r="Z89" s="482"/>
      <c r="AA89" s="482"/>
      <c r="AB89" s="482"/>
      <c r="AC89" s="482"/>
      <c r="AJ89" s="483">
        <f t="shared" si="15"/>
        <v>0</v>
      </c>
      <c r="AK89" s="483">
        <f t="shared" si="16"/>
        <v>0</v>
      </c>
    </row>
    <row r="90" spans="1:37">
      <c r="A90" s="478">
        <v>95</v>
      </c>
      <c r="B90" s="478" t="str">
        <f t="shared" si="17"/>
        <v>2601100</v>
      </c>
      <c r="C90" s="478">
        <v>1100</v>
      </c>
      <c r="D90" s="509" cm="1">
        <f t="array" ref="D90">INDEX('Form A Mapping'!C:C, MATCH(1, (C90 &gt;= 'Form A Mapping'!A:A) * (C90 &lt;= 'Form A Mapping'!B:B), 0))</f>
        <v>7</v>
      </c>
      <c r="E90" s="500" t="s">
        <v>510</v>
      </c>
      <c r="F90" s="502">
        <f>8807.01</f>
        <v>8807.01</v>
      </c>
      <c r="G90" s="501"/>
      <c r="H90" s="501"/>
      <c r="I90" s="501"/>
      <c r="J90" s="501"/>
      <c r="K90" s="501"/>
      <c r="L90" s="501"/>
      <c r="M90" s="501"/>
      <c r="N90" s="501"/>
      <c r="O90" s="501"/>
      <c r="P90" s="501"/>
      <c r="Q90" s="501"/>
      <c r="R90" s="501"/>
      <c r="S90" s="501"/>
      <c r="T90" s="501"/>
      <c r="U90" s="501"/>
      <c r="V90" s="501"/>
      <c r="W90" s="501"/>
      <c r="X90" s="502">
        <f t="shared" ref="X90:X153" si="21">(((((((((((((((F90)+(G90))+(H90))+(I90))+(J90))+(K90))+(L90))+(M90))+(N90))+(Q90))+(R90))+(S90))+(T90))+(U90))+(V90))+(W90)</f>
        <v>8807.01</v>
      </c>
      <c r="Y90" s="502">
        <f t="shared" ref="Y90:Y153" si="22">X90</f>
        <v>8807.01</v>
      </c>
      <c r="Z90" s="482"/>
      <c r="AA90" s="482"/>
      <c r="AB90" s="482"/>
      <c r="AC90" s="482"/>
      <c r="AJ90" s="483">
        <f t="shared" si="15"/>
        <v>8807.01</v>
      </c>
      <c r="AK90" s="483">
        <f t="shared" si="16"/>
        <v>0</v>
      </c>
    </row>
    <row r="91" spans="1:37">
      <c r="E91" s="500" t="s">
        <v>511</v>
      </c>
      <c r="F91" s="503">
        <f t="shared" ref="F91:W91" si="23">(F89)+(F90)</f>
        <v>8807.01</v>
      </c>
      <c r="G91" s="503">
        <f t="shared" si="23"/>
        <v>0</v>
      </c>
      <c r="H91" s="503">
        <f t="shared" si="23"/>
        <v>0</v>
      </c>
      <c r="I91" s="503">
        <f t="shared" si="23"/>
        <v>0</v>
      </c>
      <c r="J91" s="503">
        <f t="shared" si="23"/>
        <v>0</v>
      </c>
      <c r="K91" s="503">
        <f t="shared" si="23"/>
        <v>0</v>
      </c>
      <c r="L91" s="503">
        <f t="shared" si="23"/>
        <v>0</v>
      </c>
      <c r="M91" s="503">
        <f t="shared" si="23"/>
        <v>0</v>
      </c>
      <c r="N91" s="503">
        <f t="shared" si="23"/>
        <v>0</v>
      </c>
      <c r="O91" s="503">
        <f t="shared" si="23"/>
        <v>0</v>
      </c>
      <c r="P91" s="503">
        <f t="shared" si="23"/>
        <v>0</v>
      </c>
      <c r="Q91" s="503">
        <f t="shared" si="23"/>
        <v>0</v>
      </c>
      <c r="R91" s="503">
        <f t="shared" si="23"/>
        <v>0</v>
      </c>
      <c r="S91" s="503">
        <f t="shared" si="23"/>
        <v>0</v>
      </c>
      <c r="T91" s="503">
        <f t="shared" si="23"/>
        <v>0</v>
      </c>
      <c r="U91" s="503">
        <f t="shared" si="23"/>
        <v>0</v>
      </c>
      <c r="V91" s="503">
        <f t="shared" si="23"/>
        <v>0</v>
      </c>
      <c r="W91" s="503">
        <f t="shared" si="23"/>
        <v>0</v>
      </c>
      <c r="X91" s="503">
        <f t="shared" si="21"/>
        <v>8807.01</v>
      </c>
      <c r="Y91" s="503">
        <f t="shared" si="22"/>
        <v>8807.01</v>
      </c>
      <c r="Z91" s="482"/>
      <c r="AA91" s="482"/>
      <c r="AB91" s="482"/>
      <c r="AC91" s="482"/>
      <c r="AJ91" s="483">
        <f t="shared" si="15"/>
        <v>8807.01</v>
      </c>
      <c r="AK91" s="483">
        <f t="shared" si="16"/>
        <v>0</v>
      </c>
    </row>
    <row r="92" spans="1:37">
      <c r="A92" s="478">
        <v>95</v>
      </c>
      <c r="B92" s="478" t="str">
        <f t="shared" si="17"/>
        <v>2900000</v>
      </c>
      <c r="C92" s="478">
        <v>0</v>
      </c>
      <c r="D92" s="509" cm="1">
        <f t="array" ref="D92">INDEX('Form A Mapping'!C:C, MATCH(1, (C92 &gt;= 'Form A Mapping'!A:A) * (C92 &lt;= 'Form A Mapping'!B:B), 0))</f>
        <v>0</v>
      </c>
      <c r="E92" s="500" t="s">
        <v>512</v>
      </c>
      <c r="F92" s="501"/>
      <c r="G92" s="501"/>
      <c r="H92" s="501"/>
      <c r="I92" s="501"/>
      <c r="J92" s="501"/>
      <c r="K92" s="501"/>
      <c r="L92" s="501"/>
      <c r="M92" s="501"/>
      <c r="N92" s="501"/>
      <c r="O92" s="501"/>
      <c r="P92" s="501"/>
      <c r="Q92" s="501"/>
      <c r="R92" s="501"/>
      <c r="S92" s="501"/>
      <c r="T92" s="501"/>
      <c r="U92" s="501"/>
      <c r="V92" s="501"/>
      <c r="W92" s="501"/>
      <c r="X92" s="502">
        <f t="shared" si="21"/>
        <v>0</v>
      </c>
      <c r="Y92" s="502">
        <f t="shared" si="22"/>
        <v>0</v>
      </c>
      <c r="Z92" s="482"/>
      <c r="AA92" s="482"/>
      <c r="AB92" s="482"/>
      <c r="AC92" s="482"/>
      <c r="AJ92" s="483">
        <f t="shared" si="15"/>
        <v>0</v>
      </c>
      <c r="AK92" s="483">
        <f t="shared" si="16"/>
        <v>0</v>
      </c>
    </row>
    <row r="93" spans="1:37">
      <c r="A93" s="478">
        <v>95</v>
      </c>
      <c r="B93" s="478" t="str">
        <f t="shared" si="17"/>
        <v>2901100</v>
      </c>
      <c r="C93" s="478">
        <v>1100</v>
      </c>
      <c r="D93" s="509" cm="1">
        <f t="array" ref="D93">INDEX('Form A Mapping'!C:C, MATCH(1, (C93 &gt;= 'Form A Mapping'!A:A) * (C93 &lt;= 'Form A Mapping'!B:B), 0))</f>
        <v>7</v>
      </c>
      <c r="E93" s="500" t="s">
        <v>513</v>
      </c>
      <c r="F93" s="502">
        <f>1565.74</f>
        <v>1565.74</v>
      </c>
      <c r="G93" s="501"/>
      <c r="H93" s="501"/>
      <c r="I93" s="501"/>
      <c r="J93" s="501"/>
      <c r="K93" s="501"/>
      <c r="L93" s="501"/>
      <c r="M93" s="501"/>
      <c r="N93" s="501"/>
      <c r="O93" s="501"/>
      <c r="P93" s="501"/>
      <c r="Q93" s="501"/>
      <c r="R93" s="501"/>
      <c r="S93" s="501"/>
      <c r="T93" s="501"/>
      <c r="U93" s="501"/>
      <c r="V93" s="501"/>
      <c r="W93" s="501"/>
      <c r="X93" s="502">
        <f t="shared" si="21"/>
        <v>1565.74</v>
      </c>
      <c r="Y93" s="502">
        <f t="shared" si="22"/>
        <v>1565.74</v>
      </c>
      <c r="Z93" s="482"/>
      <c r="AA93" s="482"/>
      <c r="AB93" s="482"/>
      <c r="AC93" s="482"/>
      <c r="AJ93" s="483">
        <f t="shared" si="15"/>
        <v>1565.74</v>
      </c>
      <c r="AK93" s="483">
        <f t="shared" si="16"/>
        <v>0</v>
      </c>
    </row>
    <row r="94" spans="1:37">
      <c r="E94" s="500" t="s">
        <v>514</v>
      </c>
      <c r="F94" s="503">
        <f t="shared" ref="F94:W94" si="24">(F92)+(F93)</f>
        <v>1565.74</v>
      </c>
      <c r="G94" s="503">
        <f t="shared" si="24"/>
        <v>0</v>
      </c>
      <c r="H94" s="503">
        <f t="shared" si="24"/>
        <v>0</v>
      </c>
      <c r="I94" s="503">
        <f t="shared" si="24"/>
        <v>0</v>
      </c>
      <c r="J94" s="503">
        <f t="shared" si="24"/>
        <v>0</v>
      </c>
      <c r="K94" s="503">
        <f t="shared" si="24"/>
        <v>0</v>
      </c>
      <c r="L94" s="503">
        <f t="shared" si="24"/>
        <v>0</v>
      </c>
      <c r="M94" s="503">
        <f t="shared" si="24"/>
        <v>0</v>
      </c>
      <c r="N94" s="503">
        <f t="shared" si="24"/>
        <v>0</v>
      </c>
      <c r="O94" s="503">
        <f t="shared" si="24"/>
        <v>0</v>
      </c>
      <c r="P94" s="503">
        <f t="shared" si="24"/>
        <v>0</v>
      </c>
      <c r="Q94" s="503">
        <f t="shared" si="24"/>
        <v>0</v>
      </c>
      <c r="R94" s="503">
        <f t="shared" si="24"/>
        <v>0</v>
      </c>
      <c r="S94" s="503">
        <f t="shared" si="24"/>
        <v>0</v>
      </c>
      <c r="T94" s="503">
        <f t="shared" si="24"/>
        <v>0</v>
      </c>
      <c r="U94" s="503">
        <f t="shared" si="24"/>
        <v>0</v>
      </c>
      <c r="V94" s="503">
        <f t="shared" si="24"/>
        <v>0</v>
      </c>
      <c r="W94" s="503">
        <f t="shared" si="24"/>
        <v>0</v>
      </c>
      <c r="X94" s="503">
        <f t="shared" si="21"/>
        <v>1565.74</v>
      </c>
      <c r="Y94" s="503">
        <f t="shared" si="22"/>
        <v>1565.74</v>
      </c>
      <c r="Z94" s="482"/>
      <c r="AA94" s="482"/>
      <c r="AB94" s="482"/>
      <c r="AC94" s="482"/>
      <c r="AJ94" s="483">
        <f t="shared" si="15"/>
        <v>1565.74</v>
      </c>
      <c r="AK94" s="483">
        <f t="shared" si="16"/>
        <v>0</v>
      </c>
    </row>
    <row r="95" spans="1:37">
      <c r="E95" s="500" t="s">
        <v>515</v>
      </c>
      <c r="F95" s="503">
        <f t="shared" ref="F95:W95" si="25">(((((((F42)+(F52))+(F62))+(F72))+(F78))+(F88))+(F91))+(F94)</f>
        <v>302967.50999999995</v>
      </c>
      <c r="G95" s="503">
        <f t="shared" si="25"/>
        <v>32166</v>
      </c>
      <c r="H95" s="503">
        <f t="shared" si="25"/>
        <v>0</v>
      </c>
      <c r="I95" s="503">
        <f t="shared" si="25"/>
        <v>0</v>
      </c>
      <c r="J95" s="503">
        <f t="shared" si="25"/>
        <v>0</v>
      </c>
      <c r="K95" s="503">
        <f t="shared" si="25"/>
        <v>9165</v>
      </c>
      <c r="L95" s="503">
        <f t="shared" si="25"/>
        <v>0</v>
      </c>
      <c r="M95" s="503">
        <f t="shared" si="25"/>
        <v>0</v>
      </c>
      <c r="N95" s="503">
        <f t="shared" si="25"/>
        <v>3636</v>
      </c>
      <c r="O95" s="503">
        <f t="shared" si="25"/>
        <v>0</v>
      </c>
      <c r="P95" s="503">
        <f t="shared" si="25"/>
        <v>0</v>
      </c>
      <c r="Q95" s="503">
        <f t="shared" si="25"/>
        <v>0</v>
      </c>
      <c r="R95" s="503">
        <f t="shared" si="25"/>
        <v>0</v>
      </c>
      <c r="S95" s="503">
        <f t="shared" si="25"/>
        <v>0</v>
      </c>
      <c r="T95" s="503">
        <f t="shared" si="25"/>
        <v>0</v>
      </c>
      <c r="U95" s="503">
        <f t="shared" si="25"/>
        <v>17756</v>
      </c>
      <c r="V95" s="503">
        <f t="shared" si="25"/>
        <v>0</v>
      </c>
      <c r="W95" s="503">
        <f t="shared" si="25"/>
        <v>0</v>
      </c>
      <c r="X95" s="503">
        <f t="shared" si="21"/>
        <v>365690.50999999995</v>
      </c>
      <c r="Y95" s="503">
        <f t="shared" si="22"/>
        <v>365690.50999999995</v>
      </c>
      <c r="Z95" s="482"/>
      <c r="AA95" s="482"/>
      <c r="AB95" s="482"/>
      <c r="AC95" s="482"/>
      <c r="AJ95" s="483">
        <f t="shared" si="15"/>
        <v>302967.50999999995</v>
      </c>
      <c r="AK95" s="483">
        <f t="shared" si="16"/>
        <v>62723</v>
      </c>
    </row>
    <row r="96" spans="1:37">
      <c r="A96" s="478">
        <v>101</v>
      </c>
      <c r="B96" s="478" t="str">
        <f t="shared" si="17"/>
        <v>3000000</v>
      </c>
      <c r="C96" s="478">
        <v>0</v>
      </c>
      <c r="D96" s="509" cm="1">
        <f t="array" ref="D96">INDEX('Form A Mapping'!C:C, MATCH(1, (C96 &gt;= 'Form A Mapping'!A:A) * (C96 &lt;= 'Form A Mapping'!B:B), 0))</f>
        <v>0</v>
      </c>
      <c r="E96" s="500" t="s">
        <v>516</v>
      </c>
      <c r="F96" s="501"/>
      <c r="G96" s="501"/>
      <c r="H96" s="501"/>
      <c r="I96" s="501"/>
      <c r="J96" s="501"/>
      <c r="K96" s="501"/>
      <c r="L96" s="501"/>
      <c r="M96" s="501"/>
      <c r="N96" s="501"/>
      <c r="O96" s="501"/>
      <c r="P96" s="501"/>
      <c r="Q96" s="501"/>
      <c r="R96" s="501"/>
      <c r="S96" s="501"/>
      <c r="T96" s="501"/>
      <c r="U96" s="501"/>
      <c r="V96" s="501"/>
      <c r="W96" s="501"/>
      <c r="X96" s="502">
        <f t="shared" si="21"/>
        <v>0</v>
      </c>
      <c r="Y96" s="502">
        <f t="shared" si="22"/>
        <v>0</v>
      </c>
      <c r="Z96" s="482"/>
      <c r="AA96" s="482"/>
      <c r="AB96" s="482"/>
      <c r="AC96" s="482"/>
      <c r="AJ96" s="483">
        <f t="shared" si="15"/>
        <v>0</v>
      </c>
      <c r="AK96" s="483">
        <f t="shared" si="16"/>
        <v>0</v>
      </c>
    </row>
    <row r="97" spans="1:37">
      <c r="A97" s="478">
        <v>101</v>
      </c>
      <c r="B97" s="478" t="str">
        <f t="shared" si="17"/>
        <v>3001210</v>
      </c>
      <c r="C97" s="478">
        <v>1210</v>
      </c>
      <c r="D97" s="509" cm="1">
        <f t="array" ref="D97">INDEX('Form A Mapping'!C:C, MATCH(1, (C97 &gt;= 'Form A Mapping'!A:A) * (C97 &lt;= 'Form A Mapping'!B:B), 0))</f>
        <v>8</v>
      </c>
      <c r="E97" s="500" t="s">
        <v>517</v>
      </c>
      <c r="F97" s="502">
        <f>8844</f>
        <v>8844</v>
      </c>
      <c r="G97" s="501"/>
      <c r="H97" s="501"/>
      <c r="I97" s="501"/>
      <c r="J97" s="501"/>
      <c r="K97" s="501"/>
      <c r="L97" s="501"/>
      <c r="M97" s="501"/>
      <c r="N97" s="501"/>
      <c r="O97" s="501"/>
      <c r="P97" s="501"/>
      <c r="Q97" s="501"/>
      <c r="R97" s="501"/>
      <c r="S97" s="501"/>
      <c r="T97" s="501"/>
      <c r="U97" s="501"/>
      <c r="V97" s="501"/>
      <c r="W97" s="501"/>
      <c r="X97" s="502">
        <f t="shared" si="21"/>
        <v>8844</v>
      </c>
      <c r="Y97" s="502">
        <f t="shared" si="22"/>
        <v>8844</v>
      </c>
      <c r="Z97" s="482"/>
      <c r="AA97" s="482"/>
      <c r="AB97" s="482"/>
      <c r="AC97" s="482"/>
      <c r="AJ97" s="483">
        <f t="shared" si="15"/>
        <v>8844</v>
      </c>
      <c r="AK97" s="483">
        <f t="shared" si="16"/>
        <v>0</v>
      </c>
    </row>
    <row r="98" spans="1:37">
      <c r="A98" s="478">
        <v>101</v>
      </c>
      <c r="B98" s="478" t="str">
        <f t="shared" si="17"/>
        <v>3002140</v>
      </c>
      <c r="C98" s="478">
        <v>2140</v>
      </c>
      <c r="D98" s="509" cm="1">
        <f t="array" ref="D98">INDEX('Form A Mapping'!C:C, MATCH(1, (C98 &gt;= 'Form A Mapping'!A:A) * (C98 &lt;= 'Form A Mapping'!B:B), 0))</f>
        <v>13</v>
      </c>
      <c r="E98" s="500" t="s">
        <v>518</v>
      </c>
      <c r="F98" s="502">
        <f>14334.13</f>
        <v>14334.13</v>
      </c>
      <c r="G98" s="501"/>
      <c r="H98" s="501"/>
      <c r="I98" s="501"/>
      <c r="J98" s="501"/>
      <c r="K98" s="501"/>
      <c r="L98" s="501"/>
      <c r="M98" s="501"/>
      <c r="N98" s="501"/>
      <c r="O98" s="501"/>
      <c r="P98" s="501"/>
      <c r="Q98" s="501"/>
      <c r="R98" s="501"/>
      <c r="S98" s="501"/>
      <c r="T98" s="501"/>
      <c r="U98" s="501"/>
      <c r="V98" s="501"/>
      <c r="W98" s="501"/>
      <c r="X98" s="502">
        <f t="shared" si="21"/>
        <v>14334.13</v>
      </c>
      <c r="Y98" s="502">
        <f t="shared" si="22"/>
        <v>14334.13</v>
      </c>
      <c r="Z98" s="482"/>
      <c r="AA98" s="482"/>
      <c r="AB98" s="482"/>
      <c r="AC98" s="482"/>
      <c r="AJ98" s="483">
        <f t="shared" si="15"/>
        <v>14334.13</v>
      </c>
      <c r="AK98" s="483">
        <f t="shared" si="16"/>
        <v>0</v>
      </c>
    </row>
    <row r="99" spans="1:37">
      <c r="A99" s="478">
        <v>101</v>
      </c>
      <c r="B99" s="478" t="str">
        <f t="shared" si="17"/>
        <v>3002150</v>
      </c>
      <c r="C99" s="478">
        <v>2150</v>
      </c>
      <c r="D99" s="509" cm="1">
        <f t="array" ref="D99">INDEX('Form A Mapping'!C:C, MATCH(1, (C99 &gt;= 'Form A Mapping'!A:A) * (C99 &lt;= 'Form A Mapping'!B:B), 0))</f>
        <v>13</v>
      </c>
      <c r="E99" s="500" t="s">
        <v>590</v>
      </c>
      <c r="F99" s="502">
        <f>37742</f>
        <v>37742</v>
      </c>
      <c r="G99" s="501"/>
      <c r="H99" s="501"/>
      <c r="I99" s="501"/>
      <c r="J99" s="501"/>
      <c r="K99" s="501"/>
      <c r="L99" s="501"/>
      <c r="M99" s="501"/>
      <c r="N99" s="501"/>
      <c r="O99" s="502">
        <v>0</v>
      </c>
      <c r="P99" s="502">
        <v>0</v>
      </c>
      <c r="Q99" s="502">
        <f>6230</f>
        <v>6230</v>
      </c>
      <c r="R99" s="501"/>
      <c r="S99" s="501"/>
      <c r="T99" s="501"/>
      <c r="U99" s="501"/>
      <c r="V99" s="501"/>
      <c r="W99" s="501"/>
      <c r="X99" s="502">
        <f t="shared" si="21"/>
        <v>43972</v>
      </c>
      <c r="Y99" s="502">
        <f t="shared" si="22"/>
        <v>43972</v>
      </c>
      <c r="Z99" s="482"/>
      <c r="AA99" s="482"/>
      <c r="AB99" s="482"/>
      <c r="AC99" s="482"/>
      <c r="AJ99" s="483">
        <f t="shared" si="15"/>
        <v>37742</v>
      </c>
      <c r="AK99" s="483">
        <f t="shared" si="16"/>
        <v>6230</v>
      </c>
    </row>
    <row r="100" spans="1:37">
      <c r="A100" s="478">
        <v>101</v>
      </c>
      <c r="B100" s="478" t="str">
        <f t="shared" si="17"/>
        <v>3002231</v>
      </c>
      <c r="C100" s="478">
        <v>2231</v>
      </c>
      <c r="D100" s="509" cm="1">
        <f t="array" ref="D100">INDEX('Form A Mapping'!C:C, MATCH(1, (C100 &gt;= 'Form A Mapping'!A:A) * (C100 &lt;= 'Form A Mapping'!B:B), 0))</f>
        <v>14</v>
      </c>
      <c r="E100" s="500" t="s">
        <v>519</v>
      </c>
      <c r="F100" s="502">
        <f>197033.84</f>
        <v>197033.84</v>
      </c>
      <c r="G100" s="501"/>
      <c r="H100" s="501"/>
      <c r="I100" s="501"/>
      <c r="J100" s="501"/>
      <c r="K100" s="501"/>
      <c r="L100" s="501"/>
      <c r="M100" s="501"/>
      <c r="N100" s="501"/>
      <c r="O100" s="501"/>
      <c r="P100" s="501"/>
      <c r="Q100" s="501"/>
      <c r="R100" s="501"/>
      <c r="S100" s="501"/>
      <c r="T100" s="501"/>
      <c r="U100" s="501"/>
      <c r="V100" s="501"/>
      <c r="W100" s="501"/>
      <c r="X100" s="502">
        <f t="shared" si="21"/>
        <v>197033.84</v>
      </c>
      <c r="Y100" s="502">
        <f t="shared" si="22"/>
        <v>197033.84</v>
      </c>
      <c r="Z100" s="482"/>
      <c r="AA100" s="482"/>
      <c r="AB100" s="482"/>
      <c r="AC100" s="482"/>
      <c r="AJ100" s="483">
        <f t="shared" si="15"/>
        <v>197033.84</v>
      </c>
      <c r="AK100" s="483">
        <f t="shared" si="16"/>
        <v>0</v>
      </c>
    </row>
    <row r="101" spans="1:37">
      <c r="A101" s="478">
        <v>101</v>
      </c>
      <c r="B101" s="478" t="str">
        <f t="shared" si="17"/>
        <v>3002232</v>
      </c>
      <c r="C101" s="478">
        <v>2232</v>
      </c>
      <c r="D101" s="509" cm="1">
        <f t="array" ref="D101">INDEX('Form A Mapping'!C:C, MATCH(1, (C101 &gt;= 'Form A Mapping'!A:A) * (C101 &lt;= 'Form A Mapping'!B:B), 0))</f>
        <v>14</v>
      </c>
      <c r="E101" s="500" t="s">
        <v>520</v>
      </c>
      <c r="F101" s="502">
        <f>1</f>
        <v>1</v>
      </c>
      <c r="G101" s="501"/>
      <c r="H101" s="501"/>
      <c r="I101" s="501"/>
      <c r="J101" s="501"/>
      <c r="K101" s="501"/>
      <c r="L101" s="501"/>
      <c r="M101" s="501"/>
      <c r="N101" s="501"/>
      <c r="O101" s="501"/>
      <c r="P101" s="501"/>
      <c r="Q101" s="501"/>
      <c r="R101" s="501"/>
      <c r="S101" s="501"/>
      <c r="T101" s="501"/>
      <c r="U101" s="502">
        <f>79704</f>
        <v>79704</v>
      </c>
      <c r="V101" s="501"/>
      <c r="W101" s="501"/>
      <c r="X101" s="502">
        <f t="shared" si="21"/>
        <v>79705</v>
      </c>
      <c r="Y101" s="502">
        <f t="shared" si="22"/>
        <v>79705</v>
      </c>
      <c r="Z101" s="482"/>
      <c r="AA101" s="482"/>
      <c r="AB101" s="482"/>
      <c r="AC101" s="482"/>
      <c r="AJ101" s="483">
        <f t="shared" si="15"/>
        <v>1</v>
      </c>
      <c r="AK101" s="483">
        <f t="shared" si="16"/>
        <v>79704</v>
      </c>
    </row>
    <row r="102" spans="1:37">
      <c r="A102" s="478">
        <v>101</v>
      </c>
      <c r="B102" s="478" t="str">
        <f t="shared" si="17"/>
        <v>3002400</v>
      </c>
      <c r="C102" s="478">
        <v>2400</v>
      </c>
      <c r="D102" s="509" cm="1">
        <f t="array" ref="D102">INDEX('Form A Mapping'!C:C, MATCH(1, (C102 &gt;= 'Form A Mapping'!A:A) * (C102 &lt;= 'Form A Mapping'!B:B), 0))</f>
        <v>16</v>
      </c>
      <c r="E102" s="500" t="s">
        <v>521</v>
      </c>
      <c r="F102" s="502">
        <f>-40441.25</f>
        <v>-40441.25</v>
      </c>
      <c r="G102" s="501"/>
      <c r="H102" s="501"/>
      <c r="I102" s="501"/>
      <c r="J102" s="502">
        <f>8650</f>
        <v>8650</v>
      </c>
      <c r="K102" s="501"/>
      <c r="L102" s="501"/>
      <c r="M102" s="501"/>
      <c r="N102" s="501"/>
      <c r="O102" s="501"/>
      <c r="P102" s="501"/>
      <c r="Q102" s="501"/>
      <c r="R102" s="501"/>
      <c r="S102" s="501"/>
      <c r="T102" s="501"/>
      <c r="U102" s="501"/>
      <c r="V102" s="501"/>
      <c r="W102" s="501"/>
      <c r="X102" s="502">
        <f t="shared" si="21"/>
        <v>-31791.25</v>
      </c>
      <c r="Y102" s="502">
        <f t="shared" si="22"/>
        <v>-31791.25</v>
      </c>
      <c r="Z102" s="482"/>
      <c r="AA102" s="482"/>
      <c r="AB102" s="482"/>
      <c r="AC102" s="482"/>
      <c r="AJ102" s="483">
        <f t="shared" si="15"/>
        <v>-40441.25</v>
      </c>
      <c r="AK102" s="483">
        <f t="shared" si="16"/>
        <v>8650</v>
      </c>
    </row>
    <row r="103" spans="1:37">
      <c r="A103" s="478">
        <v>101</v>
      </c>
      <c r="B103" s="478" t="str">
        <f t="shared" si="17"/>
        <v>3002510</v>
      </c>
      <c r="C103" s="478">
        <v>2510</v>
      </c>
      <c r="D103" s="509" cm="1">
        <f t="array" ref="D103">INDEX('Form A Mapping'!C:C, MATCH(1, (C103 &gt;= 'Form A Mapping'!A:A) * (C103 &lt;= 'Form A Mapping'!B:B), 0))</f>
        <v>17</v>
      </c>
      <c r="E103" s="500" t="s">
        <v>522</v>
      </c>
      <c r="F103" s="502">
        <f>442.83</f>
        <v>442.83</v>
      </c>
      <c r="G103" s="501"/>
      <c r="H103" s="501"/>
      <c r="I103" s="501"/>
      <c r="J103" s="501"/>
      <c r="K103" s="501"/>
      <c r="L103" s="501"/>
      <c r="M103" s="501"/>
      <c r="N103" s="501"/>
      <c r="O103" s="501"/>
      <c r="P103" s="501"/>
      <c r="Q103" s="501"/>
      <c r="R103" s="501"/>
      <c r="S103" s="501"/>
      <c r="T103" s="501"/>
      <c r="U103" s="501"/>
      <c r="V103" s="501"/>
      <c r="W103" s="501"/>
      <c r="X103" s="502">
        <f t="shared" si="21"/>
        <v>442.83</v>
      </c>
      <c r="Y103" s="502">
        <f t="shared" si="22"/>
        <v>442.83</v>
      </c>
      <c r="Z103" s="482"/>
      <c r="AA103" s="482"/>
      <c r="AB103" s="482"/>
      <c r="AC103" s="482"/>
      <c r="AJ103" s="483">
        <f t="shared" si="15"/>
        <v>442.83</v>
      </c>
      <c r="AK103" s="483">
        <f t="shared" si="16"/>
        <v>0</v>
      </c>
    </row>
    <row r="104" spans="1:37">
      <c r="A104" s="478">
        <v>101</v>
      </c>
      <c r="B104" s="478" t="str">
        <f t="shared" si="17"/>
        <v>3002660</v>
      </c>
      <c r="C104" s="478">
        <v>2660</v>
      </c>
      <c r="D104" s="509" cm="1">
        <f t="array" ref="D104">INDEX('Form A Mapping'!C:C, MATCH(1, (C104 &gt;= 'Form A Mapping'!A:A) * (C104 &lt;= 'Form A Mapping'!B:B), 0))</f>
        <v>18</v>
      </c>
      <c r="E104" s="500" t="s">
        <v>523</v>
      </c>
      <c r="F104" s="502">
        <f>10521</f>
        <v>10521</v>
      </c>
      <c r="G104" s="501"/>
      <c r="H104" s="501"/>
      <c r="I104" s="501"/>
      <c r="J104" s="501"/>
      <c r="K104" s="501"/>
      <c r="L104" s="501"/>
      <c r="M104" s="501"/>
      <c r="N104" s="501"/>
      <c r="O104" s="501"/>
      <c r="P104" s="501"/>
      <c r="Q104" s="501"/>
      <c r="R104" s="501"/>
      <c r="S104" s="501"/>
      <c r="T104" s="501"/>
      <c r="U104" s="501"/>
      <c r="V104" s="501"/>
      <c r="W104" s="501"/>
      <c r="X104" s="502">
        <f t="shared" si="21"/>
        <v>10521</v>
      </c>
      <c r="Y104" s="502">
        <f t="shared" si="22"/>
        <v>10521</v>
      </c>
      <c r="Z104" s="482"/>
      <c r="AA104" s="482"/>
      <c r="AB104" s="482"/>
      <c r="AC104" s="482"/>
      <c r="AJ104" s="483">
        <f t="shared" si="15"/>
        <v>10521</v>
      </c>
      <c r="AK104" s="483">
        <f t="shared" si="16"/>
        <v>0</v>
      </c>
    </row>
    <row r="105" spans="1:37">
      <c r="A105" s="478">
        <v>101</v>
      </c>
      <c r="B105" s="478" t="str">
        <f t="shared" si="17"/>
        <v>3002830</v>
      </c>
      <c r="C105" s="478">
        <v>2830</v>
      </c>
      <c r="D105" s="509" cm="1">
        <f t="array" ref="D105">INDEX('Form A Mapping'!C:C, MATCH(1, (C105 &gt;= 'Form A Mapping'!A:A) * (C105 &lt;= 'Form A Mapping'!B:B), 0))</f>
        <v>20</v>
      </c>
      <c r="E105" s="500" t="s">
        <v>524</v>
      </c>
      <c r="F105" s="502">
        <f>26357.02</f>
        <v>26357.02</v>
      </c>
      <c r="G105" s="501"/>
      <c r="H105" s="501"/>
      <c r="I105" s="501"/>
      <c r="J105" s="501"/>
      <c r="K105" s="501"/>
      <c r="L105" s="501"/>
      <c r="M105" s="501"/>
      <c r="N105" s="501"/>
      <c r="O105" s="501"/>
      <c r="P105" s="501"/>
      <c r="Q105" s="501"/>
      <c r="R105" s="501"/>
      <c r="S105" s="501"/>
      <c r="T105" s="501"/>
      <c r="U105" s="501"/>
      <c r="V105" s="501"/>
      <c r="W105" s="501"/>
      <c r="X105" s="502">
        <f t="shared" si="21"/>
        <v>26357.02</v>
      </c>
      <c r="Y105" s="502">
        <f t="shared" si="22"/>
        <v>26357.02</v>
      </c>
      <c r="Z105" s="482"/>
      <c r="AA105" s="482"/>
      <c r="AB105" s="482"/>
      <c r="AC105" s="482"/>
      <c r="AJ105" s="483">
        <f t="shared" si="15"/>
        <v>26357.02</v>
      </c>
      <c r="AK105" s="483">
        <f t="shared" si="16"/>
        <v>0</v>
      </c>
    </row>
    <row r="106" spans="1:37">
      <c r="A106" s="478">
        <v>98</v>
      </c>
      <c r="B106" s="478" t="str">
        <f t="shared" si="17"/>
        <v>3322310</v>
      </c>
      <c r="C106" s="478">
        <v>2310</v>
      </c>
      <c r="D106" s="509" cm="1">
        <f t="array" ref="D106">INDEX('Form A Mapping'!C:C, MATCH(1, (C106 &gt;= 'Form A Mapping'!A:A) * (C106 &lt;= 'Form A Mapping'!B:B), 0))</f>
        <v>15</v>
      </c>
      <c r="E106" s="500" t="s">
        <v>525</v>
      </c>
      <c r="F106" s="502">
        <f>2441.9</f>
        <v>2441.9</v>
      </c>
      <c r="G106" s="501"/>
      <c r="H106" s="501"/>
      <c r="I106" s="501"/>
      <c r="J106" s="501"/>
      <c r="K106" s="501"/>
      <c r="L106" s="501"/>
      <c r="M106" s="501"/>
      <c r="N106" s="501"/>
      <c r="O106" s="501"/>
      <c r="P106" s="501"/>
      <c r="Q106" s="501"/>
      <c r="R106" s="501"/>
      <c r="S106" s="501"/>
      <c r="T106" s="501"/>
      <c r="U106" s="501"/>
      <c r="V106" s="501"/>
      <c r="W106" s="501"/>
      <c r="X106" s="502">
        <f t="shared" si="21"/>
        <v>2441.9</v>
      </c>
      <c r="Y106" s="502">
        <f t="shared" si="22"/>
        <v>2441.9</v>
      </c>
      <c r="Z106" s="482"/>
      <c r="AA106" s="482"/>
      <c r="AB106" s="482"/>
      <c r="AC106" s="482"/>
      <c r="AJ106" s="483">
        <f t="shared" si="15"/>
        <v>2441.9</v>
      </c>
      <c r="AK106" s="483">
        <f t="shared" si="16"/>
        <v>0</v>
      </c>
    </row>
    <row r="107" spans="1:37">
      <c r="A107" s="478">
        <v>99</v>
      </c>
      <c r="B107" s="478" t="str">
        <f t="shared" si="17"/>
        <v>3332310</v>
      </c>
      <c r="C107" s="478">
        <v>2310</v>
      </c>
      <c r="D107" s="509" cm="1">
        <f t="array" ref="D107">INDEX('Form A Mapping'!C:C, MATCH(1, (C107 &gt;= 'Form A Mapping'!A:A) * (C107 &lt;= 'Form A Mapping'!B:B), 0))</f>
        <v>15</v>
      </c>
      <c r="E107" s="500" t="s">
        <v>526</v>
      </c>
      <c r="F107" s="502">
        <f>18430</f>
        <v>18430</v>
      </c>
      <c r="G107" s="501"/>
      <c r="H107" s="501"/>
      <c r="I107" s="501"/>
      <c r="J107" s="501"/>
      <c r="K107" s="501"/>
      <c r="L107" s="501"/>
      <c r="M107" s="501"/>
      <c r="N107" s="501"/>
      <c r="O107" s="501"/>
      <c r="P107" s="501"/>
      <c r="Q107" s="501"/>
      <c r="R107" s="501"/>
      <c r="S107" s="501"/>
      <c r="T107" s="501"/>
      <c r="U107" s="501"/>
      <c r="V107" s="501"/>
      <c r="W107" s="501"/>
      <c r="X107" s="502">
        <f t="shared" si="21"/>
        <v>18430</v>
      </c>
      <c r="Y107" s="502">
        <f t="shared" si="22"/>
        <v>18430</v>
      </c>
      <c r="Z107" s="482"/>
      <c r="AA107" s="482"/>
      <c r="AB107" s="482"/>
      <c r="AC107" s="482"/>
      <c r="AJ107" s="483">
        <f t="shared" si="15"/>
        <v>18430</v>
      </c>
      <c r="AK107" s="483">
        <f t="shared" si="16"/>
        <v>0</v>
      </c>
    </row>
    <row r="108" spans="1:37" ht="22">
      <c r="A108" s="478">
        <v>101</v>
      </c>
      <c r="B108" s="478" t="str">
        <f t="shared" si="17"/>
        <v>3392830</v>
      </c>
      <c r="C108" s="478">
        <v>2830</v>
      </c>
      <c r="D108" s="509" cm="1">
        <f t="array" ref="D108">INDEX('Form A Mapping'!C:C, MATCH(1, (C108 &gt;= 'Form A Mapping'!A:A) * (C108 &lt;= 'Form A Mapping'!B:B), 0))</f>
        <v>20</v>
      </c>
      <c r="E108" s="500" t="s">
        <v>527</v>
      </c>
      <c r="F108" s="502">
        <f>509.86</f>
        <v>509.86</v>
      </c>
      <c r="G108" s="501"/>
      <c r="H108" s="501"/>
      <c r="I108" s="501"/>
      <c r="J108" s="501"/>
      <c r="K108" s="501"/>
      <c r="L108" s="501"/>
      <c r="M108" s="501"/>
      <c r="N108" s="501"/>
      <c r="O108" s="501"/>
      <c r="P108" s="501"/>
      <c r="Q108" s="501"/>
      <c r="R108" s="501"/>
      <c r="S108" s="501"/>
      <c r="T108" s="501"/>
      <c r="U108" s="501"/>
      <c r="V108" s="501"/>
      <c r="W108" s="501"/>
      <c r="X108" s="502">
        <f t="shared" si="21"/>
        <v>509.86</v>
      </c>
      <c r="Y108" s="502">
        <f t="shared" si="22"/>
        <v>509.86</v>
      </c>
      <c r="Z108" s="482"/>
      <c r="AA108" s="482"/>
      <c r="AB108" s="482"/>
      <c r="AC108" s="482"/>
      <c r="AJ108" s="483">
        <f t="shared" si="15"/>
        <v>509.86</v>
      </c>
      <c r="AK108" s="483">
        <f t="shared" si="16"/>
        <v>0</v>
      </c>
    </row>
    <row r="109" spans="1:37">
      <c r="A109" s="478">
        <v>101</v>
      </c>
      <c r="B109" s="478" t="str">
        <f t="shared" si="17"/>
        <v>3402510</v>
      </c>
      <c r="C109" s="478">
        <v>2510</v>
      </c>
      <c r="D109" s="509" cm="1">
        <f t="array" ref="D109">INDEX('Form A Mapping'!C:C, MATCH(1, (C109 &gt;= 'Form A Mapping'!A:A) * (C109 &lt;= 'Form A Mapping'!B:B), 0))</f>
        <v>17</v>
      </c>
      <c r="E109" s="500" t="s">
        <v>528</v>
      </c>
      <c r="F109" s="502">
        <f>11489.39</f>
        <v>11489.39</v>
      </c>
      <c r="G109" s="501"/>
      <c r="H109" s="501"/>
      <c r="I109" s="501"/>
      <c r="J109" s="501"/>
      <c r="K109" s="501"/>
      <c r="L109" s="502">
        <f>73368.75</f>
        <v>73368.75</v>
      </c>
      <c r="M109" s="501"/>
      <c r="N109" s="501"/>
      <c r="O109" s="501"/>
      <c r="P109" s="501"/>
      <c r="Q109" s="501"/>
      <c r="R109" s="501"/>
      <c r="S109" s="501"/>
      <c r="T109" s="501"/>
      <c r="U109" s="501"/>
      <c r="V109" s="501"/>
      <c r="W109" s="501"/>
      <c r="X109" s="502">
        <f t="shared" si="21"/>
        <v>84858.14</v>
      </c>
      <c r="Y109" s="502">
        <f t="shared" si="22"/>
        <v>84858.14</v>
      </c>
      <c r="Z109" s="482"/>
      <c r="AA109" s="482"/>
      <c r="AB109" s="482"/>
      <c r="AC109" s="482"/>
      <c r="AJ109" s="483">
        <f t="shared" si="15"/>
        <v>11489.39</v>
      </c>
      <c r="AK109" s="483">
        <f t="shared" si="16"/>
        <v>73368.75</v>
      </c>
    </row>
    <row r="110" spans="1:37">
      <c r="A110" s="478">
        <v>101</v>
      </c>
      <c r="B110" s="478" t="str">
        <f t="shared" si="17"/>
        <v>3402840</v>
      </c>
      <c r="C110" s="478">
        <v>2840</v>
      </c>
      <c r="D110" s="509" cm="1">
        <f t="array" ref="D110">INDEX('Form A Mapping'!C:C, MATCH(1, (C110 &gt;= 'Form A Mapping'!A:A) * (C110 &lt;= 'Form A Mapping'!B:B), 0))</f>
        <v>20</v>
      </c>
      <c r="E110" s="500" t="s">
        <v>529</v>
      </c>
      <c r="F110" s="502">
        <f>33419.77</f>
        <v>33419.769999999997</v>
      </c>
      <c r="G110" s="501"/>
      <c r="H110" s="501"/>
      <c r="I110" s="501"/>
      <c r="J110" s="502">
        <f>12950</f>
        <v>12950</v>
      </c>
      <c r="K110" s="501"/>
      <c r="L110" s="502">
        <f>123467.43</f>
        <v>123467.43</v>
      </c>
      <c r="M110" s="501"/>
      <c r="N110" s="501"/>
      <c r="O110" s="501"/>
      <c r="P110" s="501"/>
      <c r="Q110" s="501"/>
      <c r="R110" s="501"/>
      <c r="S110" s="501"/>
      <c r="T110" s="501"/>
      <c r="U110" s="501"/>
      <c r="V110" s="501"/>
      <c r="W110" s="501"/>
      <c r="X110" s="502">
        <f t="shared" si="21"/>
        <v>169837.19999999998</v>
      </c>
      <c r="Y110" s="502">
        <f t="shared" si="22"/>
        <v>169837.19999999998</v>
      </c>
      <c r="Z110" s="482"/>
      <c r="AA110" s="482"/>
      <c r="AB110" s="482"/>
      <c r="AC110" s="482"/>
      <c r="AJ110" s="483">
        <f t="shared" si="15"/>
        <v>33419.76999999999</v>
      </c>
      <c r="AK110" s="483">
        <f t="shared" si="16"/>
        <v>136417.43</v>
      </c>
    </row>
    <row r="111" spans="1:37">
      <c r="C111" s="478" t="s">
        <v>601</v>
      </c>
      <c r="E111" s="500" t="s">
        <v>530</v>
      </c>
      <c r="F111" s="503">
        <f t="shared" ref="F111:W111" si="26">((((((((((((((F96)+(F97))+(F98))+(F99))+(F100))+(F101))+(F102))+(F103))+(F104))+(F105))+(F106))+(F107))+(F108))+(F109))+(F110)</f>
        <v>321125.49</v>
      </c>
      <c r="G111" s="503">
        <f t="shared" si="26"/>
        <v>0</v>
      </c>
      <c r="H111" s="503">
        <f t="shared" si="26"/>
        <v>0</v>
      </c>
      <c r="I111" s="503">
        <f t="shared" si="26"/>
        <v>0</v>
      </c>
      <c r="J111" s="503">
        <f t="shared" si="26"/>
        <v>21600</v>
      </c>
      <c r="K111" s="503">
        <f t="shared" si="26"/>
        <v>0</v>
      </c>
      <c r="L111" s="503">
        <f t="shared" si="26"/>
        <v>196836.18</v>
      </c>
      <c r="M111" s="503">
        <f t="shared" si="26"/>
        <v>0</v>
      </c>
      <c r="N111" s="503">
        <f t="shared" si="26"/>
        <v>0</v>
      </c>
      <c r="O111" s="503">
        <f t="shared" si="26"/>
        <v>0</v>
      </c>
      <c r="P111" s="503">
        <f t="shared" si="26"/>
        <v>0</v>
      </c>
      <c r="Q111" s="503">
        <f t="shared" si="26"/>
        <v>6230</v>
      </c>
      <c r="R111" s="503">
        <f t="shared" si="26"/>
        <v>0</v>
      </c>
      <c r="S111" s="503">
        <f t="shared" si="26"/>
        <v>0</v>
      </c>
      <c r="T111" s="503">
        <f t="shared" si="26"/>
        <v>0</v>
      </c>
      <c r="U111" s="503">
        <f t="shared" si="26"/>
        <v>79704</v>
      </c>
      <c r="V111" s="503">
        <f t="shared" si="26"/>
        <v>0</v>
      </c>
      <c r="W111" s="503">
        <f t="shared" si="26"/>
        <v>0</v>
      </c>
      <c r="X111" s="503">
        <f t="shared" si="21"/>
        <v>625495.66999999993</v>
      </c>
      <c r="Y111" s="503">
        <f t="shared" si="22"/>
        <v>625495.66999999993</v>
      </c>
      <c r="Z111" s="482"/>
      <c r="AA111" s="482"/>
      <c r="AB111" s="482"/>
      <c r="AC111" s="482"/>
      <c r="AJ111" s="483">
        <f t="shared" si="15"/>
        <v>321125.48999999993</v>
      </c>
      <c r="AK111" s="483">
        <f t="shared" si="16"/>
        <v>304370.18</v>
      </c>
    </row>
    <row r="112" spans="1:37">
      <c r="A112" s="478">
        <v>108</v>
      </c>
      <c r="B112" s="478" t="str">
        <f t="shared" si="17"/>
        <v>4000000</v>
      </c>
      <c r="C112" s="478">
        <v>0</v>
      </c>
      <c r="E112" s="500" t="s">
        <v>531</v>
      </c>
      <c r="F112" s="501"/>
      <c r="G112" s="501"/>
      <c r="H112" s="501"/>
      <c r="I112" s="501"/>
      <c r="J112" s="501"/>
      <c r="K112" s="501"/>
      <c r="L112" s="501"/>
      <c r="M112" s="501"/>
      <c r="N112" s="501"/>
      <c r="O112" s="501"/>
      <c r="P112" s="501"/>
      <c r="Q112" s="501"/>
      <c r="R112" s="501"/>
      <c r="S112" s="501"/>
      <c r="T112" s="501"/>
      <c r="U112" s="501"/>
      <c r="V112" s="501"/>
      <c r="W112" s="501"/>
      <c r="X112" s="502">
        <f t="shared" si="21"/>
        <v>0</v>
      </c>
      <c r="Y112" s="502">
        <f t="shared" si="22"/>
        <v>0</v>
      </c>
      <c r="Z112" s="482"/>
      <c r="AA112" s="482"/>
      <c r="AB112" s="482"/>
      <c r="AC112" s="482"/>
      <c r="AJ112" s="483">
        <f t="shared" si="15"/>
        <v>0</v>
      </c>
      <c r="AK112" s="483">
        <f t="shared" si="16"/>
        <v>0</v>
      </c>
    </row>
    <row r="113" spans="1:37">
      <c r="A113" s="478">
        <v>108</v>
      </c>
      <c r="B113" s="478" t="str">
        <f t="shared" si="17"/>
        <v>4002310</v>
      </c>
      <c r="C113" s="478">
        <v>2310</v>
      </c>
      <c r="D113" s="509" cm="1">
        <f t="array" ref="D113">INDEX('Form A Mapping'!C:C, MATCH(1, (C113 &gt;= 'Form A Mapping'!A:A) * (C113 &lt;= 'Form A Mapping'!B:B), 0))</f>
        <v>15</v>
      </c>
      <c r="E113" s="500" t="s">
        <v>532</v>
      </c>
      <c r="F113" s="502">
        <f>26774.81</f>
        <v>26774.81</v>
      </c>
      <c r="G113" s="501"/>
      <c r="H113" s="501"/>
      <c r="I113" s="501"/>
      <c r="J113" s="501"/>
      <c r="K113" s="501"/>
      <c r="L113" s="501"/>
      <c r="M113" s="501"/>
      <c r="N113" s="501"/>
      <c r="O113" s="501"/>
      <c r="P113" s="501"/>
      <c r="Q113" s="501"/>
      <c r="R113" s="501"/>
      <c r="S113" s="501"/>
      <c r="T113" s="501"/>
      <c r="U113" s="501"/>
      <c r="V113" s="501"/>
      <c r="W113" s="501"/>
      <c r="X113" s="502">
        <f t="shared" si="21"/>
        <v>26774.81</v>
      </c>
      <c r="Y113" s="502">
        <f t="shared" si="22"/>
        <v>26774.81</v>
      </c>
      <c r="Z113" s="482"/>
      <c r="AA113" s="482"/>
      <c r="AB113" s="482"/>
      <c r="AC113" s="482"/>
      <c r="AJ113" s="483">
        <f t="shared" si="15"/>
        <v>26774.81</v>
      </c>
      <c r="AK113" s="483">
        <f t="shared" si="16"/>
        <v>0</v>
      </c>
    </row>
    <row r="114" spans="1:37">
      <c r="A114" s="478">
        <v>108</v>
      </c>
      <c r="B114" s="478" t="str">
        <f t="shared" si="17"/>
        <v>4002660</v>
      </c>
      <c r="C114" s="478">
        <v>2660</v>
      </c>
      <c r="D114" s="509" cm="1">
        <f t="array" ref="D114">INDEX('Form A Mapping'!C:C, MATCH(1, (C114 &gt;= 'Form A Mapping'!A:A) * (C114 &lt;= 'Form A Mapping'!B:B), 0))</f>
        <v>18</v>
      </c>
      <c r="E114" s="500" t="s">
        <v>533</v>
      </c>
      <c r="F114" s="502">
        <f>12625.18</f>
        <v>12625.18</v>
      </c>
      <c r="G114" s="501"/>
      <c r="H114" s="501"/>
      <c r="I114" s="501"/>
      <c r="J114" s="501"/>
      <c r="K114" s="501"/>
      <c r="L114" s="501"/>
      <c r="M114" s="501"/>
      <c r="N114" s="501"/>
      <c r="O114" s="501"/>
      <c r="P114" s="501"/>
      <c r="Q114" s="501"/>
      <c r="R114" s="501"/>
      <c r="S114" s="501"/>
      <c r="T114" s="501"/>
      <c r="U114" s="501"/>
      <c r="V114" s="501"/>
      <c r="W114" s="501"/>
      <c r="X114" s="502">
        <f t="shared" si="21"/>
        <v>12625.18</v>
      </c>
      <c r="Y114" s="502">
        <f t="shared" si="22"/>
        <v>12625.18</v>
      </c>
      <c r="Z114" s="482"/>
      <c r="AA114" s="482"/>
      <c r="AB114" s="482"/>
      <c r="AC114" s="482"/>
      <c r="AJ114" s="483">
        <f t="shared" si="15"/>
        <v>12625.18</v>
      </c>
      <c r="AK114" s="483">
        <f t="shared" si="16"/>
        <v>0</v>
      </c>
    </row>
    <row r="115" spans="1:37" ht="22">
      <c r="A115" s="478">
        <v>104</v>
      </c>
      <c r="B115" s="478" t="str">
        <f t="shared" si="17"/>
        <v>4112620</v>
      </c>
      <c r="C115" s="478">
        <v>2620</v>
      </c>
      <c r="D115" s="509" cm="1">
        <f t="array" ref="D115">INDEX('Form A Mapping'!C:C, MATCH(1, (C115 &gt;= 'Form A Mapping'!A:A) * (C115 &lt;= 'Form A Mapping'!B:B), 0))</f>
        <v>18</v>
      </c>
      <c r="E115" s="500" t="s">
        <v>534</v>
      </c>
      <c r="F115" s="502">
        <f>10539.79</f>
        <v>10539.79</v>
      </c>
      <c r="G115" s="501"/>
      <c r="H115" s="501"/>
      <c r="I115" s="501"/>
      <c r="J115" s="501"/>
      <c r="K115" s="501"/>
      <c r="L115" s="501"/>
      <c r="M115" s="501"/>
      <c r="N115" s="501"/>
      <c r="O115" s="501"/>
      <c r="P115" s="501"/>
      <c r="Q115" s="501"/>
      <c r="R115" s="501"/>
      <c r="S115" s="501"/>
      <c r="T115" s="501"/>
      <c r="U115" s="501"/>
      <c r="V115" s="501"/>
      <c r="W115" s="501"/>
      <c r="X115" s="502">
        <f t="shared" si="21"/>
        <v>10539.79</v>
      </c>
      <c r="Y115" s="502">
        <f t="shared" si="22"/>
        <v>10539.79</v>
      </c>
      <c r="Z115" s="482"/>
      <c r="AA115" s="482"/>
      <c r="AB115" s="482"/>
      <c r="AC115" s="482"/>
      <c r="AJ115" s="483">
        <f t="shared" si="15"/>
        <v>10539.79</v>
      </c>
      <c r="AK115" s="483">
        <f t="shared" si="16"/>
        <v>0</v>
      </c>
    </row>
    <row r="116" spans="1:37" ht="22">
      <c r="A116" s="478">
        <v>107</v>
      </c>
      <c r="B116" s="478" t="str">
        <f t="shared" si="17"/>
        <v>4212620</v>
      </c>
      <c r="C116" s="478">
        <v>2620</v>
      </c>
      <c r="D116" s="509" cm="1">
        <f t="array" ref="D116">INDEX('Form A Mapping'!C:C, MATCH(1, (C116 &gt;= 'Form A Mapping'!A:A) * (C116 &lt;= 'Form A Mapping'!B:B), 0))</f>
        <v>18</v>
      </c>
      <c r="E116" s="500" t="s">
        <v>535</v>
      </c>
      <c r="F116" s="502">
        <f>12292.26</f>
        <v>12292.26</v>
      </c>
      <c r="G116" s="501"/>
      <c r="H116" s="501"/>
      <c r="I116" s="501"/>
      <c r="J116" s="501"/>
      <c r="K116" s="501"/>
      <c r="L116" s="501"/>
      <c r="M116" s="501"/>
      <c r="N116" s="501"/>
      <c r="O116" s="501"/>
      <c r="P116" s="501"/>
      <c r="Q116" s="501"/>
      <c r="R116" s="501"/>
      <c r="S116" s="501"/>
      <c r="T116" s="501"/>
      <c r="U116" s="501"/>
      <c r="V116" s="501"/>
      <c r="W116" s="501"/>
      <c r="X116" s="502">
        <f t="shared" si="21"/>
        <v>12292.26</v>
      </c>
      <c r="Y116" s="502">
        <f t="shared" si="22"/>
        <v>12292.26</v>
      </c>
      <c r="Z116" s="482"/>
      <c r="AA116" s="482"/>
      <c r="AB116" s="482"/>
      <c r="AC116" s="482"/>
      <c r="AJ116" s="483">
        <f t="shared" si="15"/>
        <v>12292.26</v>
      </c>
      <c r="AK116" s="483">
        <f t="shared" si="16"/>
        <v>0</v>
      </c>
    </row>
    <row r="117" spans="1:37" ht="22">
      <c r="A117" s="478">
        <v>107</v>
      </c>
      <c r="B117" s="478" t="str">
        <f t="shared" si="17"/>
        <v>4232620</v>
      </c>
      <c r="C117" s="478">
        <v>2620</v>
      </c>
      <c r="D117" s="509" cm="1">
        <f t="array" ref="D117">INDEX('Form A Mapping'!C:C, MATCH(1, (C117 &gt;= 'Form A Mapping'!A:A) * (C117 &lt;= 'Form A Mapping'!B:B), 0))</f>
        <v>18</v>
      </c>
      <c r="E117" s="500" t="s">
        <v>536</v>
      </c>
      <c r="F117" s="502">
        <f>32.94</f>
        <v>32.94</v>
      </c>
      <c r="G117" s="501"/>
      <c r="H117" s="501"/>
      <c r="I117" s="501"/>
      <c r="J117" s="501"/>
      <c r="K117" s="501"/>
      <c r="L117" s="501"/>
      <c r="M117" s="501"/>
      <c r="N117" s="501"/>
      <c r="O117" s="501"/>
      <c r="P117" s="501"/>
      <c r="Q117" s="501"/>
      <c r="R117" s="501"/>
      <c r="S117" s="501"/>
      <c r="T117" s="501"/>
      <c r="U117" s="501"/>
      <c r="V117" s="501"/>
      <c r="W117" s="501"/>
      <c r="X117" s="502">
        <f t="shared" si="21"/>
        <v>32.94</v>
      </c>
      <c r="Y117" s="502">
        <f t="shared" si="22"/>
        <v>32.94</v>
      </c>
      <c r="Z117" s="482"/>
      <c r="AA117" s="482"/>
      <c r="AB117" s="482"/>
      <c r="AC117" s="482"/>
      <c r="AJ117" s="483">
        <f t="shared" si="15"/>
        <v>32.94</v>
      </c>
      <c r="AK117" s="483">
        <f t="shared" si="16"/>
        <v>0</v>
      </c>
    </row>
    <row r="118" spans="1:37">
      <c r="A118" s="478">
        <v>107</v>
      </c>
      <c r="B118" s="478" t="str">
        <f t="shared" si="17"/>
        <v>4242630</v>
      </c>
      <c r="C118" s="478">
        <v>2630</v>
      </c>
      <c r="D118" s="509" cm="1">
        <f t="array" ref="D118">INDEX('Form A Mapping'!C:C, MATCH(1, (C118 &gt;= 'Form A Mapping'!A:A) * (C118 &lt;= 'Form A Mapping'!B:B), 0))</f>
        <v>18</v>
      </c>
      <c r="E118" s="500" t="s">
        <v>537</v>
      </c>
      <c r="F118" s="502">
        <f>17883.75</f>
        <v>17883.75</v>
      </c>
      <c r="G118" s="501"/>
      <c r="H118" s="501"/>
      <c r="I118" s="501"/>
      <c r="J118" s="501"/>
      <c r="K118" s="501"/>
      <c r="L118" s="501"/>
      <c r="M118" s="501"/>
      <c r="N118" s="501"/>
      <c r="O118" s="501"/>
      <c r="P118" s="501"/>
      <c r="Q118" s="501"/>
      <c r="R118" s="501"/>
      <c r="S118" s="501"/>
      <c r="T118" s="501"/>
      <c r="U118" s="501"/>
      <c r="V118" s="501"/>
      <c r="W118" s="501"/>
      <c r="X118" s="502">
        <f t="shared" si="21"/>
        <v>17883.75</v>
      </c>
      <c r="Y118" s="502">
        <f t="shared" si="22"/>
        <v>17883.75</v>
      </c>
      <c r="Z118" s="482"/>
      <c r="AA118" s="482"/>
      <c r="AB118" s="482"/>
      <c r="AC118" s="482"/>
      <c r="AJ118" s="483">
        <f t="shared" si="15"/>
        <v>17883.75</v>
      </c>
      <c r="AK118" s="483">
        <f t="shared" si="16"/>
        <v>0</v>
      </c>
    </row>
    <row r="119" spans="1:37" ht="22">
      <c r="A119" s="478">
        <v>107</v>
      </c>
      <c r="B119" s="478" t="str">
        <f t="shared" si="17"/>
        <v>4302620</v>
      </c>
      <c r="C119" s="478">
        <v>2620</v>
      </c>
      <c r="D119" s="509" cm="1">
        <f t="array" ref="D119">INDEX('Form A Mapping'!C:C, MATCH(1, (C119 &gt;= 'Form A Mapping'!A:A) * (C119 &lt;= 'Form A Mapping'!B:B), 0))</f>
        <v>18</v>
      </c>
      <c r="E119" s="500" t="s">
        <v>538</v>
      </c>
      <c r="F119" s="502">
        <f>59722.94</f>
        <v>59722.94</v>
      </c>
      <c r="G119" s="501"/>
      <c r="H119" s="501"/>
      <c r="I119" s="501"/>
      <c r="J119" s="501"/>
      <c r="K119" s="501"/>
      <c r="L119" s="501"/>
      <c r="M119" s="501"/>
      <c r="N119" s="501"/>
      <c r="O119" s="501"/>
      <c r="P119" s="501"/>
      <c r="Q119" s="501"/>
      <c r="R119" s="501"/>
      <c r="S119" s="501"/>
      <c r="T119" s="501"/>
      <c r="U119" s="501"/>
      <c r="V119" s="501"/>
      <c r="W119" s="501"/>
      <c r="X119" s="502">
        <f t="shared" si="21"/>
        <v>59722.94</v>
      </c>
      <c r="Y119" s="502">
        <f t="shared" si="22"/>
        <v>59722.94</v>
      </c>
      <c r="Z119" s="482"/>
      <c r="AA119" s="482"/>
      <c r="AB119" s="482"/>
      <c r="AC119" s="482"/>
      <c r="AJ119" s="483">
        <f t="shared" si="15"/>
        <v>59722.94</v>
      </c>
      <c r="AK119" s="483">
        <f t="shared" si="16"/>
        <v>0</v>
      </c>
    </row>
    <row r="120" spans="1:37">
      <c r="A120" s="478">
        <v>107</v>
      </c>
      <c r="B120" s="478" t="str">
        <f t="shared" si="17"/>
        <v>4303100</v>
      </c>
      <c r="C120" s="478">
        <v>3100</v>
      </c>
      <c r="D120" s="509" cm="1">
        <f t="array" ref="D120">INDEX('Form A Mapping'!C:C, MATCH(1, (C120 &gt;= 'Form A Mapping'!A:A) * (C120 &lt;= 'Form A Mapping'!B:B), 0))</f>
        <v>21</v>
      </c>
      <c r="E120" s="500" t="s">
        <v>539</v>
      </c>
      <c r="F120" s="501"/>
      <c r="G120" s="501"/>
      <c r="H120" s="501"/>
      <c r="I120" s="501"/>
      <c r="J120" s="501"/>
      <c r="K120" s="501"/>
      <c r="L120" s="501"/>
      <c r="M120" s="502">
        <f>506.71</f>
        <v>506.71</v>
      </c>
      <c r="N120" s="501"/>
      <c r="O120" s="501"/>
      <c r="P120" s="501"/>
      <c r="Q120" s="501"/>
      <c r="R120" s="501"/>
      <c r="S120" s="501"/>
      <c r="T120" s="501"/>
      <c r="U120" s="501"/>
      <c r="V120" s="501"/>
      <c r="W120" s="501"/>
      <c r="X120" s="502">
        <f t="shared" si="21"/>
        <v>506.71</v>
      </c>
      <c r="Y120" s="502">
        <f t="shared" si="22"/>
        <v>506.71</v>
      </c>
      <c r="Z120" s="482"/>
      <c r="AA120" s="482"/>
      <c r="AB120" s="482"/>
      <c r="AC120" s="482"/>
      <c r="AJ120" s="483">
        <f t="shared" si="15"/>
        <v>0</v>
      </c>
      <c r="AK120" s="483">
        <f t="shared" si="16"/>
        <v>506.71</v>
      </c>
    </row>
    <row r="121" spans="1:37" ht="22">
      <c r="A121" s="478">
        <v>105</v>
      </c>
      <c r="B121" s="478" t="str">
        <f t="shared" si="17"/>
        <v>4412620</v>
      </c>
      <c r="C121" s="478">
        <v>2620</v>
      </c>
      <c r="D121" s="509" cm="1">
        <f t="array" ref="D121">INDEX('Form A Mapping'!C:C, MATCH(1, (C121 &gt;= 'Form A Mapping'!A:A) * (C121 &lt;= 'Form A Mapping'!B:B), 0))</f>
        <v>18</v>
      </c>
      <c r="E121" s="500" t="s">
        <v>540</v>
      </c>
      <c r="F121" s="502">
        <f>15584.92</f>
        <v>15584.92</v>
      </c>
      <c r="G121" s="501"/>
      <c r="H121" s="501"/>
      <c r="I121" s="501"/>
      <c r="J121" s="501"/>
      <c r="K121" s="501"/>
      <c r="L121" s="501"/>
      <c r="M121" s="501"/>
      <c r="N121" s="501"/>
      <c r="O121" s="501"/>
      <c r="P121" s="501"/>
      <c r="Q121" s="501"/>
      <c r="R121" s="501"/>
      <c r="S121" s="501"/>
      <c r="T121" s="501"/>
      <c r="U121" s="501"/>
      <c r="V121" s="501"/>
      <c r="W121" s="501"/>
      <c r="X121" s="502">
        <f t="shared" si="21"/>
        <v>15584.92</v>
      </c>
      <c r="Y121" s="502">
        <f t="shared" si="22"/>
        <v>15584.92</v>
      </c>
      <c r="Z121" s="482"/>
      <c r="AA121" s="482"/>
      <c r="AB121" s="482"/>
      <c r="AC121" s="482"/>
      <c r="AJ121" s="483">
        <f t="shared" si="15"/>
        <v>15584.92</v>
      </c>
      <c r="AK121" s="483">
        <f t="shared" si="16"/>
        <v>0</v>
      </c>
    </row>
    <row r="122" spans="1:37">
      <c r="A122" s="478">
        <v>106</v>
      </c>
      <c r="B122" s="478" t="str">
        <f t="shared" si="17"/>
        <v>4422400</v>
      </c>
      <c r="C122" s="478">
        <v>2400</v>
      </c>
      <c r="D122" s="509" cm="1">
        <f t="array" ref="D122">INDEX('Form A Mapping'!C:C, MATCH(1, (C122 &gt;= 'Form A Mapping'!A:A) * (C122 &lt;= 'Form A Mapping'!B:B), 0))</f>
        <v>16</v>
      </c>
      <c r="E122" s="500" t="s">
        <v>279</v>
      </c>
      <c r="F122" s="502">
        <f>18906.04</f>
        <v>18906.04</v>
      </c>
      <c r="G122" s="501"/>
      <c r="H122" s="501"/>
      <c r="I122" s="501"/>
      <c r="J122" s="501"/>
      <c r="K122" s="501"/>
      <c r="L122" s="501"/>
      <c r="M122" s="501"/>
      <c r="N122" s="501"/>
      <c r="O122" s="501"/>
      <c r="P122" s="501"/>
      <c r="Q122" s="501"/>
      <c r="R122" s="501"/>
      <c r="S122" s="501"/>
      <c r="T122" s="501"/>
      <c r="U122" s="501"/>
      <c r="V122" s="501"/>
      <c r="W122" s="501"/>
      <c r="X122" s="502">
        <f t="shared" si="21"/>
        <v>18906.04</v>
      </c>
      <c r="Y122" s="502">
        <f t="shared" si="22"/>
        <v>18906.04</v>
      </c>
      <c r="Z122" s="482"/>
      <c r="AA122" s="482"/>
      <c r="AB122" s="482"/>
      <c r="AC122" s="482"/>
      <c r="AJ122" s="483">
        <f t="shared" si="15"/>
        <v>18906.04</v>
      </c>
      <c r="AK122" s="483">
        <f t="shared" si="16"/>
        <v>0</v>
      </c>
    </row>
    <row r="123" spans="1:37" ht="22">
      <c r="A123" s="478">
        <v>108</v>
      </c>
      <c r="B123" s="478" t="str">
        <f t="shared" si="17"/>
        <v>4422620</v>
      </c>
      <c r="C123" s="478">
        <v>2620</v>
      </c>
      <c r="D123" s="509" cm="1">
        <f t="array" ref="D123">INDEX('Form A Mapping'!C:C, MATCH(1, (C123 &gt;= 'Form A Mapping'!A:A) * (C123 &lt;= 'Form A Mapping'!B:B), 0))</f>
        <v>18</v>
      </c>
      <c r="E123" s="500" t="s">
        <v>591</v>
      </c>
      <c r="F123" s="502">
        <f>249.56</f>
        <v>249.56</v>
      </c>
      <c r="G123" s="501"/>
      <c r="H123" s="501"/>
      <c r="I123" s="501"/>
      <c r="J123" s="501"/>
      <c r="K123" s="501"/>
      <c r="L123" s="501"/>
      <c r="M123" s="501"/>
      <c r="N123" s="501"/>
      <c r="O123" s="501"/>
      <c r="P123" s="501"/>
      <c r="Q123" s="501"/>
      <c r="R123" s="501"/>
      <c r="S123" s="501"/>
      <c r="T123" s="501"/>
      <c r="U123" s="501"/>
      <c r="V123" s="501"/>
      <c r="W123" s="501"/>
      <c r="X123" s="502">
        <f t="shared" si="21"/>
        <v>249.56</v>
      </c>
      <c r="Y123" s="502">
        <f t="shared" si="22"/>
        <v>249.56</v>
      </c>
      <c r="Z123" s="482"/>
      <c r="AA123" s="482"/>
      <c r="AB123" s="482"/>
      <c r="AC123" s="482"/>
      <c r="AJ123" s="483">
        <f t="shared" si="15"/>
        <v>249.56</v>
      </c>
      <c r="AK123" s="483">
        <f t="shared" si="16"/>
        <v>0</v>
      </c>
    </row>
    <row r="124" spans="1:37">
      <c r="C124" s="478" t="s">
        <v>601</v>
      </c>
      <c r="E124" s="500" t="s">
        <v>541</v>
      </c>
      <c r="F124" s="503">
        <f t="shared" ref="F124:W124" si="27">(((((((((((F112)+(F113))+(F114))+(F115))+(F116))+(F117))+(F118))+(F119))+(F120))+(F121))+(F122))+(F123)</f>
        <v>174612.19000000003</v>
      </c>
      <c r="G124" s="503">
        <f t="shared" si="27"/>
        <v>0</v>
      </c>
      <c r="H124" s="503">
        <f t="shared" si="27"/>
        <v>0</v>
      </c>
      <c r="I124" s="503">
        <f t="shared" si="27"/>
        <v>0</v>
      </c>
      <c r="J124" s="503">
        <f t="shared" si="27"/>
        <v>0</v>
      </c>
      <c r="K124" s="503">
        <f t="shared" si="27"/>
        <v>0</v>
      </c>
      <c r="L124" s="503">
        <f t="shared" si="27"/>
        <v>0</v>
      </c>
      <c r="M124" s="503">
        <f t="shared" si="27"/>
        <v>506.71</v>
      </c>
      <c r="N124" s="503">
        <f t="shared" si="27"/>
        <v>0</v>
      </c>
      <c r="O124" s="503">
        <f t="shared" si="27"/>
        <v>0</v>
      </c>
      <c r="P124" s="503">
        <f t="shared" si="27"/>
        <v>0</v>
      </c>
      <c r="Q124" s="503">
        <f t="shared" si="27"/>
        <v>0</v>
      </c>
      <c r="R124" s="503">
        <f t="shared" si="27"/>
        <v>0</v>
      </c>
      <c r="S124" s="503">
        <f t="shared" si="27"/>
        <v>0</v>
      </c>
      <c r="T124" s="503">
        <f t="shared" si="27"/>
        <v>0</v>
      </c>
      <c r="U124" s="503">
        <f t="shared" si="27"/>
        <v>0</v>
      </c>
      <c r="V124" s="503">
        <f t="shared" si="27"/>
        <v>0</v>
      </c>
      <c r="W124" s="503">
        <f t="shared" si="27"/>
        <v>0</v>
      </c>
      <c r="X124" s="503">
        <f t="shared" si="21"/>
        <v>175118.90000000002</v>
      </c>
      <c r="Y124" s="503">
        <f t="shared" si="22"/>
        <v>175118.90000000002</v>
      </c>
      <c r="Z124" s="482"/>
      <c r="AA124" s="482"/>
      <c r="AB124" s="482"/>
      <c r="AC124" s="482"/>
      <c r="AJ124" s="483">
        <f t="shared" si="15"/>
        <v>174612.19000000003</v>
      </c>
      <c r="AK124" s="483">
        <f t="shared" si="16"/>
        <v>506.71</v>
      </c>
    </row>
    <row r="125" spans="1:37">
      <c r="A125" s="478">
        <v>119</v>
      </c>
      <c r="B125" s="478" t="str">
        <f t="shared" si="17"/>
        <v>5000000</v>
      </c>
      <c r="C125" s="478">
        <v>0</v>
      </c>
      <c r="D125" s="509" cm="1">
        <f t="array" ref="D125">INDEX('Form A Mapping'!C:C, MATCH(1, (C125 &gt;= 'Form A Mapping'!A:A) * (C125 &lt;= 'Form A Mapping'!B:B), 0))</f>
        <v>0</v>
      </c>
      <c r="E125" s="500" t="s">
        <v>542</v>
      </c>
      <c r="F125" s="501"/>
      <c r="G125" s="501"/>
      <c r="H125" s="501"/>
      <c r="I125" s="501"/>
      <c r="J125" s="501"/>
      <c r="K125" s="501"/>
      <c r="L125" s="501"/>
      <c r="M125" s="501"/>
      <c r="N125" s="501"/>
      <c r="O125" s="501"/>
      <c r="P125" s="501"/>
      <c r="Q125" s="501"/>
      <c r="R125" s="501"/>
      <c r="S125" s="501"/>
      <c r="T125" s="501"/>
      <c r="U125" s="501"/>
      <c r="V125" s="501"/>
      <c r="W125" s="501"/>
      <c r="X125" s="502">
        <f t="shared" si="21"/>
        <v>0</v>
      </c>
      <c r="Y125" s="502">
        <f t="shared" si="22"/>
        <v>0</v>
      </c>
      <c r="Z125" s="482"/>
      <c r="AA125" s="482"/>
      <c r="AB125" s="482"/>
      <c r="AC125" s="482"/>
      <c r="AJ125" s="483">
        <f t="shared" si="15"/>
        <v>0</v>
      </c>
      <c r="AK125" s="483">
        <f t="shared" si="16"/>
        <v>0</v>
      </c>
    </row>
    <row r="126" spans="1:37">
      <c r="A126" s="478">
        <v>111</v>
      </c>
      <c r="B126" s="478" t="str">
        <f t="shared" si="17"/>
        <v>5002720</v>
      </c>
      <c r="C126" s="478">
        <v>2720</v>
      </c>
      <c r="D126" s="509" cm="1">
        <f t="array" ref="D126">INDEX('Form A Mapping'!C:C, MATCH(1, (C126 &gt;= 'Form A Mapping'!A:A) * (C126 &lt;= 'Form A Mapping'!B:B), 0))</f>
        <v>19</v>
      </c>
      <c r="E126" s="500" t="s">
        <v>543</v>
      </c>
      <c r="F126" s="502">
        <f>73078.77</f>
        <v>73078.77</v>
      </c>
      <c r="G126" s="501"/>
      <c r="H126" s="501"/>
      <c r="I126" s="501"/>
      <c r="J126" s="501"/>
      <c r="K126" s="501"/>
      <c r="L126" s="502">
        <f>199776.82</f>
        <v>199776.82</v>
      </c>
      <c r="M126" s="501"/>
      <c r="N126" s="501"/>
      <c r="O126" s="501"/>
      <c r="P126" s="501"/>
      <c r="Q126" s="501"/>
      <c r="R126" s="501"/>
      <c r="S126" s="501"/>
      <c r="T126" s="501"/>
      <c r="U126" s="501"/>
      <c r="V126" s="501"/>
      <c r="W126" s="501"/>
      <c r="X126" s="502">
        <f t="shared" si="21"/>
        <v>272855.59000000003</v>
      </c>
      <c r="Y126" s="502">
        <f t="shared" si="22"/>
        <v>272855.59000000003</v>
      </c>
      <c r="Z126" s="482"/>
      <c r="AA126" s="482"/>
      <c r="AB126" s="482"/>
      <c r="AC126" s="482"/>
      <c r="AJ126" s="483">
        <f t="shared" si="15"/>
        <v>73078.770000000019</v>
      </c>
      <c r="AK126" s="483">
        <f t="shared" si="16"/>
        <v>199776.82</v>
      </c>
    </row>
    <row r="127" spans="1:37">
      <c r="A127" s="478">
        <v>113</v>
      </c>
      <c r="B127" s="478" t="str">
        <f t="shared" si="17"/>
        <v>5212310</v>
      </c>
      <c r="C127" s="478">
        <v>2310</v>
      </c>
      <c r="D127" s="509" cm="1">
        <f t="array" ref="D127">INDEX('Form A Mapping'!C:C, MATCH(1, (C127 &gt;= 'Form A Mapping'!A:A) * (C127 &lt;= 'Form A Mapping'!B:B), 0))</f>
        <v>15</v>
      </c>
      <c r="E127" s="500" t="s">
        <v>544</v>
      </c>
      <c r="F127" s="502">
        <f>34270.38</f>
        <v>34270.379999999997</v>
      </c>
      <c r="G127" s="501"/>
      <c r="H127" s="501"/>
      <c r="I127" s="501"/>
      <c r="J127" s="501"/>
      <c r="K127" s="501"/>
      <c r="L127" s="501"/>
      <c r="M127" s="501"/>
      <c r="N127" s="501"/>
      <c r="O127" s="501"/>
      <c r="P127" s="501"/>
      <c r="Q127" s="501"/>
      <c r="R127" s="501"/>
      <c r="S127" s="501"/>
      <c r="T127" s="501"/>
      <c r="U127" s="501"/>
      <c r="V127" s="501"/>
      <c r="W127" s="501"/>
      <c r="X127" s="502">
        <f t="shared" si="21"/>
        <v>34270.379999999997</v>
      </c>
      <c r="Y127" s="502">
        <f t="shared" si="22"/>
        <v>34270.379999999997</v>
      </c>
      <c r="AJ127" s="483">
        <f t="shared" si="15"/>
        <v>34270.379999999997</v>
      </c>
      <c r="AK127" s="483">
        <f t="shared" si="16"/>
        <v>0</v>
      </c>
    </row>
    <row r="128" spans="1:37">
      <c r="A128" s="478">
        <v>112</v>
      </c>
      <c r="B128" s="478" t="str">
        <f t="shared" si="17"/>
        <v>5222620</v>
      </c>
      <c r="C128" s="478">
        <v>2620</v>
      </c>
      <c r="D128" s="509" cm="1">
        <f t="array" ref="D128">INDEX('Form A Mapping'!C:C, MATCH(1, (C128 &gt;= 'Form A Mapping'!A:A) * (C128 &lt;= 'Form A Mapping'!B:B), 0))</f>
        <v>18</v>
      </c>
      <c r="E128" s="500" t="s">
        <v>280</v>
      </c>
      <c r="F128" s="502">
        <f>23447.62</f>
        <v>23447.62</v>
      </c>
      <c r="G128" s="501"/>
      <c r="H128" s="501"/>
      <c r="I128" s="501"/>
      <c r="J128" s="501"/>
      <c r="K128" s="501"/>
      <c r="L128" s="501"/>
      <c r="M128" s="501"/>
      <c r="N128" s="501"/>
      <c r="O128" s="501"/>
      <c r="P128" s="501"/>
      <c r="Q128" s="501"/>
      <c r="R128" s="501"/>
      <c r="S128" s="501"/>
      <c r="T128" s="501"/>
      <c r="U128" s="501"/>
      <c r="V128" s="501"/>
      <c r="W128" s="501"/>
      <c r="X128" s="502">
        <f t="shared" si="21"/>
        <v>23447.62</v>
      </c>
      <c r="Y128" s="502">
        <f t="shared" si="22"/>
        <v>23447.62</v>
      </c>
      <c r="AJ128" s="483">
        <f t="shared" si="15"/>
        <v>23447.62</v>
      </c>
      <c r="AK128" s="483">
        <f t="shared" si="16"/>
        <v>0</v>
      </c>
    </row>
    <row r="129" spans="1:37">
      <c r="A129" s="478">
        <v>119</v>
      </c>
      <c r="B129" s="478" t="str">
        <f t="shared" si="17"/>
        <v>5301100</v>
      </c>
      <c r="C129" s="478">
        <v>1100</v>
      </c>
      <c r="D129" s="509" cm="1">
        <f t="array" ref="D129">INDEX('Form A Mapping'!C:C, MATCH(1, (C129 &gt;= 'Form A Mapping'!A:A) * (C129 &lt;= 'Form A Mapping'!B:B), 0))</f>
        <v>7</v>
      </c>
      <c r="E129" s="500" t="s">
        <v>545</v>
      </c>
      <c r="F129" s="502">
        <f>32676.63</f>
        <v>32676.63</v>
      </c>
      <c r="G129" s="501"/>
      <c r="H129" s="501"/>
      <c r="I129" s="501"/>
      <c r="J129" s="501"/>
      <c r="K129" s="501"/>
      <c r="L129" s="501"/>
      <c r="M129" s="501"/>
      <c r="N129" s="501"/>
      <c r="O129" s="501"/>
      <c r="P129" s="501"/>
      <c r="Q129" s="501"/>
      <c r="R129" s="501"/>
      <c r="S129" s="501"/>
      <c r="T129" s="501"/>
      <c r="U129" s="501"/>
      <c r="V129" s="501"/>
      <c r="W129" s="501"/>
      <c r="X129" s="502">
        <f t="shared" si="21"/>
        <v>32676.63</v>
      </c>
      <c r="Y129" s="502">
        <f t="shared" si="22"/>
        <v>32676.63</v>
      </c>
      <c r="AJ129" s="483">
        <f t="shared" si="15"/>
        <v>32676.63</v>
      </c>
      <c r="AK129" s="483">
        <f t="shared" si="16"/>
        <v>0</v>
      </c>
    </row>
    <row r="130" spans="1:37">
      <c r="A130" s="478">
        <v>119</v>
      </c>
      <c r="B130" s="478" t="str">
        <f t="shared" si="17"/>
        <v>5302400</v>
      </c>
      <c r="C130" s="478">
        <v>2400</v>
      </c>
      <c r="D130" s="509" cm="1">
        <f t="array" ref="D130">INDEX('Form A Mapping'!C:C, MATCH(1, (C130 &gt;= 'Form A Mapping'!A:A) * (C130 &lt;= 'Form A Mapping'!B:B), 0))</f>
        <v>16</v>
      </c>
      <c r="E130" s="500" t="s">
        <v>546</v>
      </c>
      <c r="F130" s="502">
        <f>25427.23</f>
        <v>25427.23</v>
      </c>
      <c r="G130" s="501"/>
      <c r="H130" s="502">
        <f>3580</f>
        <v>3580</v>
      </c>
      <c r="I130" s="501"/>
      <c r="J130" s="501"/>
      <c r="K130" s="501"/>
      <c r="L130" s="501"/>
      <c r="M130" s="501"/>
      <c r="N130" s="501"/>
      <c r="O130" s="501"/>
      <c r="P130" s="501"/>
      <c r="Q130" s="501"/>
      <c r="R130" s="501"/>
      <c r="S130" s="501"/>
      <c r="T130" s="501"/>
      <c r="U130" s="501"/>
      <c r="V130" s="501"/>
      <c r="W130" s="501"/>
      <c r="X130" s="502">
        <f t="shared" si="21"/>
        <v>29007.23</v>
      </c>
      <c r="Y130" s="502">
        <f t="shared" si="22"/>
        <v>29007.23</v>
      </c>
      <c r="AJ130" s="483">
        <f t="shared" si="15"/>
        <v>29007.23</v>
      </c>
      <c r="AK130" s="483">
        <f t="shared" si="16"/>
        <v>0</v>
      </c>
    </row>
    <row r="131" spans="1:37">
      <c r="A131" s="478">
        <v>119</v>
      </c>
      <c r="B131" s="478" t="str">
        <f t="shared" si="17"/>
        <v>5402310</v>
      </c>
      <c r="C131" s="478">
        <v>2310</v>
      </c>
      <c r="D131" s="509" cm="1">
        <f t="array" ref="D131">INDEX('Form A Mapping'!C:C, MATCH(1, (C131 &gt;= 'Form A Mapping'!A:A) * (C131 &lt;= 'Form A Mapping'!B:B), 0))</f>
        <v>15</v>
      </c>
      <c r="E131" s="500" t="s">
        <v>273</v>
      </c>
      <c r="F131" s="502">
        <f>12028.63</f>
        <v>12028.63</v>
      </c>
      <c r="G131" s="501"/>
      <c r="H131" s="501"/>
      <c r="I131" s="501"/>
      <c r="J131" s="501"/>
      <c r="K131" s="501"/>
      <c r="L131" s="501"/>
      <c r="M131" s="501"/>
      <c r="N131" s="501"/>
      <c r="O131" s="501"/>
      <c r="P131" s="501"/>
      <c r="Q131" s="501"/>
      <c r="R131" s="501"/>
      <c r="S131" s="501"/>
      <c r="T131" s="501"/>
      <c r="U131" s="501"/>
      <c r="V131" s="501"/>
      <c r="W131" s="501"/>
      <c r="X131" s="502">
        <f t="shared" si="21"/>
        <v>12028.63</v>
      </c>
      <c r="Y131" s="502">
        <f t="shared" si="22"/>
        <v>12028.63</v>
      </c>
      <c r="AJ131" s="483">
        <f t="shared" ref="AJ131:AJ156" si="28">Y131-AK131</f>
        <v>12028.63</v>
      </c>
      <c r="AK131" s="483">
        <f t="shared" ref="AK131:AK156" si="29">G131+I131+J131+K131+L131+M131+N131+Q131+T131+U131+V131+W131</f>
        <v>0</v>
      </c>
    </row>
    <row r="132" spans="1:37">
      <c r="A132" s="478">
        <v>117</v>
      </c>
      <c r="B132" s="478" t="str">
        <f t="shared" si="17"/>
        <v>5703100</v>
      </c>
      <c r="C132" s="478">
        <v>3100</v>
      </c>
      <c r="D132" s="509" cm="1">
        <f t="array" ref="D132">INDEX('Form A Mapping'!C:C, MATCH(1, (C132 &gt;= 'Form A Mapping'!A:A) * (C132 &lt;= 'Form A Mapping'!B:B), 0))</f>
        <v>21</v>
      </c>
      <c r="E132" s="500" t="s">
        <v>547</v>
      </c>
      <c r="F132" s="501"/>
      <c r="G132" s="501"/>
      <c r="H132" s="501"/>
      <c r="I132" s="501"/>
      <c r="J132" s="501"/>
      <c r="K132" s="501"/>
      <c r="L132" s="501"/>
      <c r="M132" s="502">
        <f>151211.03</f>
        <v>151211.03</v>
      </c>
      <c r="N132" s="501"/>
      <c r="O132" s="501"/>
      <c r="P132" s="501"/>
      <c r="Q132" s="501"/>
      <c r="R132" s="501"/>
      <c r="S132" s="501"/>
      <c r="T132" s="501"/>
      <c r="U132" s="501"/>
      <c r="V132" s="501"/>
      <c r="W132" s="501"/>
      <c r="X132" s="502">
        <f t="shared" si="21"/>
        <v>151211.03</v>
      </c>
      <c r="Y132" s="502">
        <f t="shared" si="22"/>
        <v>151211.03</v>
      </c>
      <c r="AJ132" s="483">
        <f t="shared" si="28"/>
        <v>0</v>
      </c>
      <c r="AK132" s="483">
        <f t="shared" si="29"/>
        <v>151211.03</v>
      </c>
    </row>
    <row r="133" spans="1:37">
      <c r="A133" s="478">
        <v>118</v>
      </c>
      <c r="B133" s="478" t="str">
        <f t="shared" ref="B133:B152" si="30">LEFT(TRIM(E133), 7)</f>
        <v>5821100</v>
      </c>
      <c r="C133" s="478">
        <v>1100</v>
      </c>
      <c r="D133" s="509" cm="1">
        <f t="array" ref="D133">INDEX('Form A Mapping'!C:C, MATCH(1, (C133 &gt;= 'Form A Mapping'!A:A) * (C133 &lt;= 'Form A Mapping'!B:B), 0))</f>
        <v>7</v>
      </c>
      <c r="E133" s="500" t="s">
        <v>592</v>
      </c>
      <c r="F133" s="502">
        <f>1013.6</f>
        <v>1013.6</v>
      </c>
      <c r="G133" s="501"/>
      <c r="H133" s="501"/>
      <c r="I133" s="501"/>
      <c r="J133" s="501"/>
      <c r="K133" s="501"/>
      <c r="L133" s="501"/>
      <c r="M133" s="501"/>
      <c r="N133" s="501"/>
      <c r="O133" s="501"/>
      <c r="P133" s="501"/>
      <c r="Q133" s="501"/>
      <c r="R133" s="501"/>
      <c r="S133" s="501"/>
      <c r="T133" s="501"/>
      <c r="U133" s="501"/>
      <c r="V133" s="501"/>
      <c r="W133" s="501"/>
      <c r="X133" s="502">
        <f t="shared" si="21"/>
        <v>1013.6</v>
      </c>
      <c r="Y133" s="502">
        <f t="shared" si="22"/>
        <v>1013.6</v>
      </c>
      <c r="AJ133" s="483">
        <f t="shared" si="28"/>
        <v>1013.6</v>
      </c>
      <c r="AK133" s="483">
        <f t="shared" si="29"/>
        <v>0</v>
      </c>
    </row>
    <row r="134" spans="1:37">
      <c r="A134" s="478">
        <v>118</v>
      </c>
      <c r="B134" s="478" t="str">
        <f t="shared" si="30"/>
        <v>5822400</v>
      </c>
      <c r="C134" s="478">
        <v>2400</v>
      </c>
      <c r="D134" s="509" cm="1">
        <f t="array" ref="D134">INDEX('Form A Mapping'!C:C, MATCH(1, (C134 &gt;= 'Form A Mapping'!A:A) * (C134 &lt;= 'Form A Mapping'!B:B), 0))</f>
        <v>16</v>
      </c>
      <c r="E134" s="500" t="s">
        <v>548</v>
      </c>
      <c r="F134" s="502">
        <f>329.4</f>
        <v>329.4</v>
      </c>
      <c r="G134" s="501"/>
      <c r="H134" s="501"/>
      <c r="I134" s="501"/>
      <c r="J134" s="501"/>
      <c r="K134" s="501"/>
      <c r="L134" s="501"/>
      <c r="M134" s="501"/>
      <c r="N134" s="501"/>
      <c r="O134" s="501"/>
      <c r="P134" s="501"/>
      <c r="Q134" s="501"/>
      <c r="R134" s="501"/>
      <c r="S134" s="501"/>
      <c r="T134" s="501"/>
      <c r="U134" s="501"/>
      <c r="V134" s="501"/>
      <c r="W134" s="501"/>
      <c r="X134" s="502">
        <f t="shared" si="21"/>
        <v>329.4</v>
      </c>
      <c r="Y134" s="502">
        <f t="shared" si="22"/>
        <v>329.4</v>
      </c>
      <c r="AJ134" s="483">
        <f t="shared" si="28"/>
        <v>329.4</v>
      </c>
      <c r="AK134" s="483">
        <f t="shared" si="29"/>
        <v>0</v>
      </c>
    </row>
    <row r="135" spans="1:37">
      <c r="C135" s="478" t="s">
        <v>601</v>
      </c>
      <c r="E135" s="500" t="s">
        <v>549</v>
      </c>
      <c r="F135" s="503">
        <f t="shared" ref="F135:W135" si="31">(((((((((F125)+(F126))+(F127))+(F128))+(F129))+(F130))+(F131))+(F132))+(F133))+(F134)</f>
        <v>202272.26</v>
      </c>
      <c r="G135" s="503">
        <f t="shared" si="31"/>
        <v>0</v>
      </c>
      <c r="H135" s="503">
        <f t="shared" si="31"/>
        <v>3580</v>
      </c>
      <c r="I135" s="503">
        <f t="shared" si="31"/>
        <v>0</v>
      </c>
      <c r="J135" s="503">
        <f t="shared" si="31"/>
        <v>0</v>
      </c>
      <c r="K135" s="503">
        <f t="shared" si="31"/>
        <v>0</v>
      </c>
      <c r="L135" s="503">
        <f t="shared" si="31"/>
        <v>199776.82</v>
      </c>
      <c r="M135" s="503">
        <f t="shared" si="31"/>
        <v>151211.03</v>
      </c>
      <c r="N135" s="503">
        <f t="shared" si="31"/>
        <v>0</v>
      </c>
      <c r="O135" s="503">
        <f t="shared" si="31"/>
        <v>0</v>
      </c>
      <c r="P135" s="503">
        <f t="shared" si="31"/>
        <v>0</v>
      </c>
      <c r="Q135" s="503">
        <f t="shared" si="31"/>
        <v>0</v>
      </c>
      <c r="R135" s="503">
        <f t="shared" si="31"/>
        <v>0</v>
      </c>
      <c r="S135" s="503">
        <f t="shared" si="31"/>
        <v>0</v>
      </c>
      <c r="T135" s="503">
        <f t="shared" si="31"/>
        <v>0</v>
      </c>
      <c r="U135" s="503">
        <f t="shared" si="31"/>
        <v>0</v>
      </c>
      <c r="V135" s="503">
        <f t="shared" si="31"/>
        <v>0</v>
      </c>
      <c r="W135" s="503">
        <f t="shared" si="31"/>
        <v>0</v>
      </c>
      <c r="X135" s="503">
        <f t="shared" si="21"/>
        <v>556840.11</v>
      </c>
      <c r="Y135" s="503">
        <f t="shared" si="22"/>
        <v>556840.11</v>
      </c>
      <c r="AJ135" s="483">
        <f t="shared" si="28"/>
        <v>205852.26</v>
      </c>
      <c r="AK135" s="483">
        <f t="shared" si="29"/>
        <v>350987.85</v>
      </c>
    </row>
    <row r="136" spans="1:37">
      <c r="A136" s="478">
        <v>122</v>
      </c>
      <c r="B136" s="478" t="str">
        <f t="shared" si="30"/>
        <v>6000000</v>
      </c>
      <c r="C136" s="478">
        <v>0</v>
      </c>
      <c r="E136" s="500" t="s">
        <v>274</v>
      </c>
      <c r="F136" s="501"/>
      <c r="G136" s="501"/>
      <c r="H136" s="501"/>
      <c r="I136" s="501"/>
      <c r="J136" s="501"/>
      <c r="K136" s="501"/>
      <c r="L136" s="501"/>
      <c r="M136" s="501"/>
      <c r="N136" s="501"/>
      <c r="O136" s="501"/>
      <c r="P136" s="501"/>
      <c r="Q136" s="501"/>
      <c r="R136" s="501"/>
      <c r="S136" s="501"/>
      <c r="T136" s="501"/>
      <c r="U136" s="501"/>
      <c r="V136" s="501"/>
      <c r="W136" s="501"/>
      <c r="X136" s="502">
        <f t="shared" si="21"/>
        <v>0</v>
      </c>
      <c r="Y136" s="502">
        <f t="shared" si="22"/>
        <v>0</v>
      </c>
      <c r="AJ136" s="483">
        <f t="shared" si="28"/>
        <v>0</v>
      </c>
      <c r="AK136" s="483">
        <f t="shared" si="29"/>
        <v>0</v>
      </c>
    </row>
    <row r="137" spans="1:37">
      <c r="A137" s="478">
        <v>122</v>
      </c>
      <c r="B137" s="478" t="str">
        <f t="shared" si="30"/>
        <v>6101100</v>
      </c>
      <c r="C137" s="478">
        <v>1100</v>
      </c>
      <c r="D137" s="509" cm="1">
        <f t="array" ref="D137">INDEX('Form A Mapping'!C:C, MATCH(1, (C137 &gt;= 'Form A Mapping'!A:A) * (C137 &lt;= 'Form A Mapping'!B:B), 0))</f>
        <v>7</v>
      </c>
      <c r="E137" s="500" t="s">
        <v>550</v>
      </c>
      <c r="F137" s="502">
        <f>50403.47</f>
        <v>50403.47</v>
      </c>
      <c r="G137" s="501"/>
      <c r="H137" s="501"/>
      <c r="I137" s="501"/>
      <c r="J137" s="501"/>
      <c r="K137" s="501"/>
      <c r="L137" s="501"/>
      <c r="M137" s="501"/>
      <c r="N137" s="501"/>
      <c r="O137" s="501"/>
      <c r="P137" s="501"/>
      <c r="Q137" s="501"/>
      <c r="R137" s="501"/>
      <c r="S137" s="501"/>
      <c r="T137" s="501"/>
      <c r="U137" s="501"/>
      <c r="V137" s="501"/>
      <c r="W137" s="501"/>
      <c r="X137" s="502">
        <f t="shared" si="21"/>
        <v>50403.47</v>
      </c>
      <c r="Y137" s="502">
        <f t="shared" si="22"/>
        <v>50403.47</v>
      </c>
      <c r="AJ137" s="483">
        <f t="shared" si="28"/>
        <v>50403.47</v>
      </c>
      <c r="AK137" s="483">
        <f t="shared" si="29"/>
        <v>0</v>
      </c>
    </row>
    <row r="138" spans="1:37">
      <c r="A138" s="478">
        <v>122</v>
      </c>
      <c r="B138" s="478" t="str">
        <f t="shared" si="30"/>
        <v>6101210</v>
      </c>
      <c r="C138" s="478">
        <v>1210</v>
      </c>
      <c r="D138" s="509" cm="1">
        <f t="array" ref="D138">INDEX('Form A Mapping'!C:C, MATCH(1, (C138 &gt;= 'Form A Mapping'!A:A) * (C138 &lt;= 'Form A Mapping'!B:B), 0))</f>
        <v>8</v>
      </c>
      <c r="E138" s="500" t="s">
        <v>551</v>
      </c>
      <c r="F138" s="502">
        <f>437.16</f>
        <v>437.16</v>
      </c>
      <c r="G138" s="501"/>
      <c r="H138" s="501"/>
      <c r="I138" s="501"/>
      <c r="J138" s="501"/>
      <c r="K138" s="501"/>
      <c r="L138" s="501"/>
      <c r="M138" s="501"/>
      <c r="N138" s="501"/>
      <c r="O138" s="501"/>
      <c r="P138" s="501"/>
      <c r="Q138" s="501"/>
      <c r="R138" s="501"/>
      <c r="S138" s="501"/>
      <c r="T138" s="501"/>
      <c r="U138" s="501"/>
      <c r="V138" s="501"/>
      <c r="W138" s="501"/>
      <c r="X138" s="502">
        <f t="shared" si="21"/>
        <v>437.16</v>
      </c>
      <c r="Y138" s="502">
        <f t="shared" si="22"/>
        <v>437.16</v>
      </c>
      <c r="AJ138" s="483">
        <f t="shared" si="28"/>
        <v>437.16</v>
      </c>
      <c r="AK138" s="483">
        <f t="shared" si="29"/>
        <v>0</v>
      </c>
    </row>
    <row r="139" spans="1:37">
      <c r="A139" s="478">
        <v>126</v>
      </c>
      <c r="B139" s="478" t="str">
        <f t="shared" si="30"/>
        <v>6102211</v>
      </c>
      <c r="C139" s="478">
        <v>2211</v>
      </c>
      <c r="D139" s="509" cm="1">
        <f t="array" ref="D139">INDEX('Form A Mapping'!C:C, MATCH(1, (C139 &gt;= 'Form A Mapping'!A:A) * (C139 &lt;= 'Form A Mapping'!B:B), 0))</f>
        <v>14</v>
      </c>
      <c r="E139" s="500" t="s">
        <v>552</v>
      </c>
      <c r="F139" s="502">
        <f>16218.37</f>
        <v>16218.37</v>
      </c>
      <c r="G139" s="501"/>
      <c r="H139" s="501"/>
      <c r="I139" s="501"/>
      <c r="J139" s="501"/>
      <c r="K139" s="501"/>
      <c r="L139" s="501"/>
      <c r="M139" s="501"/>
      <c r="N139" s="501"/>
      <c r="O139" s="501"/>
      <c r="P139" s="501"/>
      <c r="Q139" s="501"/>
      <c r="R139" s="501"/>
      <c r="S139" s="501"/>
      <c r="T139" s="501"/>
      <c r="U139" s="501"/>
      <c r="V139" s="501"/>
      <c r="W139" s="501"/>
      <c r="X139" s="502">
        <f t="shared" si="21"/>
        <v>16218.37</v>
      </c>
      <c r="Y139" s="502">
        <f t="shared" si="22"/>
        <v>16218.37</v>
      </c>
      <c r="AJ139" s="483">
        <f t="shared" si="28"/>
        <v>16218.37</v>
      </c>
      <c r="AK139" s="483">
        <f t="shared" si="29"/>
        <v>0</v>
      </c>
    </row>
    <row r="140" spans="1:37">
      <c r="A140" s="478">
        <v>122</v>
      </c>
      <c r="B140" s="478" t="str">
        <f t="shared" si="30"/>
        <v>6102400</v>
      </c>
      <c r="C140" s="478">
        <v>2400</v>
      </c>
      <c r="D140" s="509" cm="1">
        <f t="array" ref="D140">INDEX('Form A Mapping'!C:C, MATCH(1, (C140 &gt;= 'Form A Mapping'!A:A) * (C140 &lt;= 'Form A Mapping'!B:B), 0))</f>
        <v>16</v>
      </c>
      <c r="E140" s="500" t="s">
        <v>553</v>
      </c>
      <c r="F140" s="502">
        <f>4207.38</f>
        <v>4207.38</v>
      </c>
      <c r="G140" s="501"/>
      <c r="H140" s="501"/>
      <c r="I140" s="501"/>
      <c r="J140" s="501"/>
      <c r="K140" s="501"/>
      <c r="L140" s="501"/>
      <c r="M140" s="502">
        <f>5000</f>
        <v>5000</v>
      </c>
      <c r="N140" s="501"/>
      <c r="O140" s="501"/>
      <c r="P140" s="501"/>
      <c r="Q140" s="501"/>
      <c r="R140" s="501"/>
      <c r="S140" s="501"/>
      <c r="T140" s="501"/>
      <c r="U140" s="501"/>
      <c r="V140" s="501"/>
      <c r="W140" s="501"/>
      <c r="X140" s="502">
        <f t="shared" si="21"/>
        <v>9207.380000000001</v>
      </c>
      <c r="Y140" s="502">
        <f t="shared" si="22"/>
        <v>9207.380000000001</v>
      </c>
      <c r="AJ140" s="483">
        <f t="shared" si="28"/>
        <v>4207.380000000001</v>
      </c>
      <c r="AK140" s="483">
        <f t="shared" si="29"/>
        <v>5000</v>
      </c>
    </row>
    <row r="141" spans="1:37">
      <c r="A141" s="478">
        <v>122</v>
      </c>
      <c r="B141" s="478" t="str">
        <f t="shared" si="30"/>
        <v>6102620</v>
      </c>
      <c r="C141" s="478">
        <v>2620</v>
      </c>
      <c r="D141" s="509" cm="1">
        <f t="array" ref="D141">INDEX('Form A Mapping'!C:C, MATCH(1, (C141 &gt;= 'Form A Mapping'!A:A) * (C141 &lt;= 'Form A Mapping'!B:B), 0))</f>
        <v>18</v>
      </c>
      <c r="E141" s="500" t="s">
        <v>554</v>
      </c>
      <c r="F141" s="502">
        <f>25540.86</f>
        <v>25540.86</v>
      </c>
      <c r="G141" s="501"/>
      <c r="H141" s="501"/>
      <c r="I141" s="501"/>
      <c r="J141" s="501"/>
      <c r="K141" s="501"/>
      <c r="L141" s="501"/>
      <c r="M141" s="501"/>
      <c r="N141" s="501"/>
      <c r="O141" s="501"/>
      <c r="P141" s="501"/>
      <c r="Q141" s="501"/>
      <c r="R141" s="501"/>
      <c r="S141" s="501"/>
      <c r="T141" s="501"/>
      <c r="U141" s="501"/>
      <c r="V141" s="501"/>
      <c r="W141" s="501"/>
      <c r="X141" s="502">
        <f t="shared" si="21"/>
        <v>25540.86</v>
      </c>
      <c r="Y141" s="502">
        <f t="shared" si="22"/>
        <v>25540.86</v>
      </c>
      <c r="AJ141" s="483">
        <f t="shared" si="28"/>
        <v>25540.86</v>
      </c>
      <c r="AK141" s="483">
        <f t="shared" si="29"/>
        <v>0</v>
      </c>
    </row>
    <row r="142" spans="1:37">
      <c r="A142" s="478">
        <v>122</v>
      </c>
      <c r="B142" s="478" t="str">
        <f t="shared" si="30"/>
        <v>6151100</v>
      </c>
      <c r="C142" s="478">
        <v>1100</v>
      </c>
      <c r="D142" s="509" cm="1">
        <f t="array" ref="D142">INDEX('Form A Mapping'!C:C, MATCH(1, (C142 &gt;= 'Form A Mapping'!A:A) * (C142 &lt;= 'Form A Mapping'!B:B), 0))</f>
        <v>7</v>
      </c>
      <c r="E142" s="500" t="s">
        <v>555</v>
      </c>
      <c r="F142" s="502">
        <f>5209.93</f>
        <v>5209.93</v>
      </c>
      <c r="G142" s="501"/>
      <c r="H142" s="501"/>
      <c r="I142" s="501"/>
      <c r="J142" s="501"/>
      <c r="K142" s="501"/>
      <c r="L142" s="501"/>
      <c r="M142" s="501"/>
      <c r="N142" s="501"/>
      <c r="O142" s="501"/>
      <c r="P142" s="501"/>
      <c r="Q142" s="501"/>
      <c r="R142" s="501"/>
      <c r="S142" s="501"/>
      <c r="T142" s="501"/>
      <c r="U142" s="501"/>
      <c r="V142" s="501"/>
      <c r="W142" s="501"/>
      <c r="X142" s="502">
        <f t="shared" si="21"/>
        <v>5209.93</v>
      </c>
      <c r="Y142" s="502">
        <f t="shared" si="22"/>
        <v>5209.93</v>
      </c>
      <c r="AJ142" s="483">
        <f t="shared" si="28"/>
        <v>5209.93</v>
      </c>
      <c r="AK142" s="483">
        <f t="shared" si="29"/>
        <v>0</v>
      </c>
    </row>
    <row r="143" spans="1:37">
      <c r="A143" s="478">
        <v>122</v>
      </c>
      <c r="B143" s="478" t="str">
        <f t="shared" si="30"/>
        <v>6152400</v>
      </c>
      <c r="C143" s="478">
        <v>2400</v>
      </c>
      <c r="D143" s="509" cm="1">
        <f t="array" ref="D143">INDEX('Form A Mapping'!C:C, MATCH(1, (C143 &gt;= 'Form A Mapping'!A:A) * (C143 &lt;= 'Form A Mapping'!B:B), 0))</f>
        <v>16</v>
      </c>
      <c r="E143" s="500" t="s">
        <v>556</v>
      </c>
      <c r="F143" s="502">
        <f>1071.01</f>
        <v>1071.01</v>
      </c>
      <c r="G143" s="501"/>
      <c r="H143" s="501"/>
      <c r="I143" s="501"/>
      <c r="J143" s="501"/>
      <c r="K143" s="501"/>
      <c r="L143" s="501"/>
      <c r="M143" s="501"/>
      <c r="N143" s="501"/>
      <c r="O143" s="501"/>
      <c r="P143" s="501"/>
      <c r="Q143" s="501"/>
      <c r="R143" s="501"/>
      <c r="S143" s="501"/>
      <c r="T143" s="501"/>
      <c r="U143" s="501"/>
      <c r="V143" s="501"/>
      <c r="W143" s="501"/>
      <c r="X143" s="502">
        <f t="shared" si="21"/>
        <v>1071.01</v>
      </c>
      <c r="Y143" s="502">
        <f t="shared" si="22"/>
        <v>1071.01</v>
      </c>
      <c r="AJ143" s="483">
        <f t="shared" si="28"/>
        <v>1071.01</v>
      </c>
      <c r="AK143" s="483">
        <f t="shared" si="29"/>
        <v>0</v>
      </c>
    </row>
    <row r="144" spans="1:37" ht="22">
      <c r="A144" s="478">
        <v>123</v>
      </c>
      <c r="B144" s="478" t="str">
        <f t="shared" si="30"/>
        <v>6222620</v>
      </c>
      <c r="C144" s="478">
        <v>2620</v>
      </c>
      <c r="D144" s="509" cm="1">
        <f t="array" ref="D144">INDEX('Form A Mapping'!C:C, MATCH(1, (C144 &gt;= 'Form A Mapping'!A:A) * (C144 &lt;= 'Form A Mapping'!B:B), 0))</f>
        <v>18</v>
      </c>
      <c r="E144" s="500" t="s">
        <v>557</v>
      </c>
      <c r="F144" s="502">
        <f>46878.66</f>
        <v>46878.66</v>
      </c>
      <c r="G144" s="501"/>
      <c r="H144" s="501"/>
      <c r="I144" s="501"/>
      <c r="J144" s="501"/>
      <c r="K144" s="501"/>
      <c r="L144" s="501"/>
      <c r="M144" s="502">
        <f>25000</f>
        <v>25000</v>
      </c>
      <c r="N144" s="501"/>
      <c r="O144" s="501"/>
      <c r="P144" s="501"/>
      <c r="Q144" s="501"/>
      <c r="R144" s="501"/>
      <c r="S144" s="501"/>
      <c r="T144" s="501"/>
      <c r="U144" s="501"/>
      <c r="V144" s="501"/>
      <c r="W144" s="501"/>
      <c r="X144" s="502">
        <f t="shared" si="21"/>
        <v>71878.66</v>
      </c>
      <c r="Y144" s="502">
        <f t="shared" si="22"/>
        <v>71878.66</v>
      </c>
      <c r="AJ144" s="483">
        <f t="shared" si="28"/>
        <v>46878.66</v>
      </c>
      <c r="AK144" s="483">
        <f t="shared" si="29"/>
        <v>25000</v>
      </c>
    </row>
    <row r="145" spans="1:37">
      <c r="A145" s="478">
        <v>125</v>
      </c>
      <c r="B145" s="478" t="str">
        <f t="shared" si="30"/>
        <v>6421100</v>
      </c>
      <c r="C145" s="478">
        <v>1100</v>
      </c>
      <c r="D145" s="509" cm="1">
        <f t="array" ref="D145">INDEX('Form A Mapping'!C:C, MATCH(1, (C145 &gt;= 'Form A Mapping'!A:A) * (C145 &lt;= 'Form A Mapping'!B:B), 0))</f>
        <v>7</v>
      </c>
      <c r="E145" s="500" t="s">
        <v>558</v>
      </c>
      <c r="F145" s="502">
        <f>7465.78</f>
        <v>7465.78</v>
      </c>
      <c r="G145" s="501"/>
      <c r="H145" s="501"/>
      <c r="I145" s="501"/>
      <c r="J145" s="501"/>
      <c r="K145" s="501"/>
      <c r="L145" s="501"/>
      <c r="M145" s="501"/>
      <c r="N145" s="501"/>
      <c r="O145" s="501"/>
      <c r="P145" s="501"/>
      <c r="Q145" s="501"/>
      <c r="R145" s="501"/>
      <c r="S145" s="501"/>
      <c r="T145" s="501"/>
      <c r="U145" s="501"/>
      <c r="V145" s="501"/>
      <c r="W145" s="501"/>
      <c r="X145" s="502">
        <f t="shared" si="21"/>
        <v>7465.78</v>
      </c>
      <c r="Y145" s="502">
        <f t="shared" si="22"/>
        <v>7465.78</v>
      </c>
      <c r="AJ145" s="483">
        <f t="shared" si="28"/>
        <v>7465.78</v>
      </c>
      <c r="AK145" s="483">
        <f t="shared" si="29"/>
        <v>0</v>
      </c>
    </row>
    <row r="146" spans="1:37">
      <c r="C146" s="478" t="s">
        <v>601</v>
      </c>
      <c r="E146" s="500" t="s">
        <v>275</v>
      </c>
      <c r="F146" s="503">
        <f t="shared" ref="F146:W146" si="32">(((((((((F136)+(F137))+(F138))+(F139))+(F140))+(F141))+(F142))+(F143))+(F144))+(F145)</f>
        <v>157432.62000000002</v>
      </c>
      <c r="G146" s="503">
        <f t="shared" si="32"/>
        <v>0</v>
      </c>
      <c r="H146" s="503">
        <f t="shared" si="32"/>
        <v>0</v>
      </c>
      <c r="I146" s="503">
        <f t="shared" si="32"/>
        <v>0</v>
      </c>
      <c r="J146" s="503">
        <f t="shared" si="32"/>
        <v>0</v>
      </c>
      <c r="K146" s="503">
        <f t="shared" si="32"/>
        <v>0</v>
      </c>
      <c r="L146" s="503">
        <f t="shared" si="32"/>
        <v>0</v>
      </c>
      <c r="M146" s="503">
        <f t="shared" si="32"/>
        <v>30000</v>
      </c>
      <c r="N146" s="503">
        <f t="shared" si="32"/>
        <v>0</v>
      </c>
      <c r="O146" s="503">
        <f t="shared" si="32"/>
        <v>0</v>
      </c>
      <c r="P146" s="503">
        <f t="shared" si="32"/>
        <v>0</v>
      </c>
      <c r="Q146" s="503">
        <f t="shared" si="32"/>
        <v>0</v>
      </c>
      <c r="R146" s="503">
        <f t="shared" si="32"/>
        <v>0</v>
      </c>
      <c r="S146" s="503">
        <f t="shared" si="32"/>
        <v>0</v>
      </c>
      <c r="T146" s="503">
        <f t="shared" si="32"/>
        <v>0</v>
      </c>
      <c r="U146" s="503">
        <f t="shared" si="32"/>
        <v>0</v>
      </c>
      <c r="V146" s="503">
        <f t="shared" si="32"/>
        <v>0</v>
      </c>
      <c r="W146" s="503">
        <f t="shared" si="32"/>
        <v>0</v>
      </c>
      <c r="X146" s="503">
        <f t="shared" si="21"/>
        <v>187432.62000000002</v>
      </c>
      <c r="Y146" s="503">
        <f t="shared" si="22"/>
        <v>187432.62000000002</v>
      </c>
      <c r="AJ146" s="483">
        <f t="shared" si="28"/>
        <v>157432.62000000002</v>
      </c>
      <c r="AK146" s="483">
        <f t="shared" si="29"/>
        <v>30000</v>
      </c>
    </row>
    <row r="147" spans="1:37">
      <c r="A147" s="478">
        <v>139</v>
      </c>
      <c r="B147" s="478" t="str">
        <f t="shared" si="30"/>
        <v>8000000</v>
      </c>
      <c r="C147" s="478">
        <v>0</v>
      </c>
      <c r="E147" s="500" t="s">
        <v>559</v>
      </c>
      <c r="F147" s="501"/>
      <c r="G147" s="501"/>
      <c r="H147" s="501"/>
      <c r="I147" s="501"/>
      <c r="J147" s="501"/>
      <c r="K147" s="501"/>
      <c r="L147" s="501"/>
      <c r="M147" s="501"/>
      <c r="N147" s="501"/>
      <c r="O147" s="501"/>
      <c r="P147" s="501"/>
      <c r="Q147" s="501"/>
      <c r="R147" s="501"/>
      <c r="S147" s="501"/>
      <c r="T147" s="501"/>
      <c r="U147" s="501"/>
      <c r="V147" s="501"/>
      <c r="W147" s="501"/>
      <c r="X147" s="502">
        <f t="shared" si="21"/>
        <v>0</v>
      </c>
      <c r="Y147" s="502">
        <f t="shared" si="22"/>
        <v>0</v>
      </c>
      <c r="AJ147" s="483">
        <f t="shared" si="28"/>
        <v>0</v>
      </c>
      <c r="AK147" s="483">
        <f t="shared" si="29"/>
        <v>0</v>
      </c>
    </row>
    <row r="148" spans="1:37">
      <c r="A148" s="478">
        <v>135</v>
      </c>
      <c r="B148" s="478" t="str">
        <f t="shared" si="30"/>
        <v>8002400</v>
      </c>
      <c r="C148" s="478">
        <v>2400</v>
      </c>
      <c r="D148" s="509" cm="1">
        <f t="array" ref="D148">INDEX('Form A Mapping'!C:C, MATCH(1, (C148 &gt;= 'Form A Mapping'!A:A) * (C148 &lt;= 'Form A Mapping'!B:B), 0))</f>
        <v>16</v>
      </c>
      <c r="E148" s="500" t="s">
        <v>560</v>
      </c>
      <c r="F148" s="502">
        <f>20616.48</f>
        <v>20616.48</v>
      </c>
      <c r="G148" s="501"/>
      <c r="H148" s="501"/>
      <c r="I148" s="501"/>
      <c r="J148" s="501"/>
      <c r="K148" s="501"/>
      <c r="L148" s="501"/>
      <c r="M148" s="501"/>
      <c r="N148" s="501"/>
      <c r="O148" s="501"/>
      <c r="P148" s="501"/>
      <c r="Q148" s="501"/>
      <c r="R148" s="501"/>
      <c r="S148" s="501"/>
      <c r="T148" s="501"/>
      <c r="U148" s="501"/>
      <c r="V148" s="501"/>
      <c r="W148" s="501"/>
      <c r="X148" s="502">
        <f t="shared" si="21"/>
        <v>20616.48</v>
      </c>
      <c r="Y148" s="502">
        <f t="shared" si="22"/>
        <v>20616.48</v>
      </c>
      <c r="AJ148" s="483">
        <f t="shared" si="28"/>
        <v>20616.48</v>
      </c>
      <c r="AK148" s="483">
        <f t="shared" si="29"/>
        <v>0</v>
      </c>
    </row>
    <row r="149" spans="1:37">
      <c r="A149" s="478">
        <v>139</v>
      </c>
      <c r="B149" s="478" t="str">
        <f t="shared" si="30"/>
        <v>8102400</v>
      </c>
      <c r="C149" s="478">
        <v>2400</v>
      </c>
      <c r="D149" s="509" cm="1">
        <f t="array" ref="D149">INDEX('Form A Mapping'!C:C, MATCH(1, (C149 &gt;= 'Form A Mapping'!A:A) * (C149 &lt;= 'Form A Mapping'!B:B), 0))</f>
        <v>16</v>
      </c>
      <c r="E149" s="500" t="s">
        <v>561</v>
      </c>
      <c r="F149" s="502">
        <f>3660.18</f>
        <v>3660.18</v>
      </c>
      <c r="G149" s="501"/>
      <c r="H149" s="501"/>
      <c r="I149" s="501"/>
      <c r="J149" s="501"/>
      <c r="K149" s="501"/>
      <c r="L149" s="501"/>
      <c r="M149" s="501"/>
      <c r="N149" s="501"/>
      <c r="O149" s="501"/>
      <c r="P149" s="501"/>
      <c r="Q149" s="501"/>
      <c r="R149" s="501"/>
      <c r="S149" s="501"/>
      <c r="T149" s="501"/>
      <c r="U149" s="501"/>
      <c r="V149" s="501"/>
      <c r="W149" s="501"/>
      <c r="X149" s="502">
        <f t="shared" si="21"/>
        <v>3660.18</v>
      </c>
      <c r="Y149" s="502">
        <f t="shared" si="22"/>
        <v>3660.18</v>
      </c>
      <c r="AJ149" s="483">
        <f t="shared" si="28"/>
        <v>3660.18</v>
      </c>
      <c r="AK149" s="483">
        <f t="shared" si="29"/>
        <v>0</v>
      </c>
    </row>
    <row r="150" spans="1:37">
      <c r="C150" s="478" t="s">
        <v>601</v>
      </c>
      <c r="E150" s="500" t="s">
        <v>562</v>
      </c>
      <c r="F150" s="503">
        <f t="shared" ref="F150:W150" si="33">((F147)+(F148))+(F149)</f>
        <v>24276.66</v>
      </c>
      <c r="G150" s="503">
        <f t="shared" si="33"/>
        <v>0</v>
      </c>
      <c r="H150" s="503">
        <f t="shared" si="33"/>
        <v>0</v>
      </c>
      <c r="I150" s="503">
        <f t="shared" si="33"/>
        <v>0</v>
      </c>
      <c r="J150" s="503">
        <f t="shared" si="33"/>
        <v>0</v>
      </c>
      <c r="K150" s="503">
        <f t="shared" si="33"/>
        <v>0</v>
      </c>
      <c r="L150" s="503">
        <f t="shared" si="33"/>
        <v>0</v>
      </c>
      <c r="M150" s="503">
        <f t="shared" si="33"/>
        <v>0</v>
      </c>
      <c r="N150" s="503">
        <f t="shared" si="33"/>
        <v>0</v>
      </c>
      <c r="O150" s="503">
        <f t="shared" si="33"/>
        <v>0</v>
      </c>
      <c r="P150" s="503">
        <f t="shared" si="33"/>
        <v>0</v>
      </c>
      <c r="Q150" s="503">
        <f t="shared" si="33"/>
        <v>0</v>
      </c>
      <c r="R150" s="503">
        <f t="shared" si="33"/>
        <v>0</v>
      </c>
      <c r="S150" s="503">
        <f t="shared" si="33"/>
        <v>0</v>
      </c>
      <c r="T150" s="503">
        <f t="shared" si="33"/>
        <v>0</v>
      </c>
      <c r="U150" s="503">
        <f t="shared" si="33"/>
        <v>0</v>
      </c>
      <c r="V150" s="503">
        <f t="shared" si="33"/>
        <v>0</v>
      </c>
      <c r="W150" s="503">
        <f t="shared" si="33"/>
        <v>0</v>
      </c>
      <c r="X150" s="503">
        <f t="shared" si="21"/>
        <v>24276.66</v>
      </c>
      <c r="Y150" s="503">
        <f t="shared" si="22"/>
        <v>24276.66</v>
      </c>
      <c r="AJ150" s="483">
        <f t="shared" si="28"/>
        <v>24276.66</v>
      </c>
      <c r="AK150" s="483">
        <f t="shared" si="29"/>
        <v>0</v>
      </c>
    </row>
    <row r="151" spans="1:37">
      <c r="A151" s="478">
        <v>142</v>
      </c>
      <c r="B151" s="478" t="str">
        <f t="shared" si="30"/>
        <v>9000000</v>
      </c>
      <c r="C151" s="478">
        <v>0</v>
      </c>
      <c r="E151" s="500" t="s">
        <v>563</v>
      </c>
      <c r="F151" s="501"/>
      <c r="G151" s="501"/>
      <c r="H151" s="501"/>
      <c r="I151" s="501"/>
      <c r="J151" s="501"/>
      <c r="K151" s="501"/>
      <c r="L151" s="501"/>
      <c r="M151" s="501"/>
      <c r="N151" s="501"/>
      <c r="O151" s="501"/>
      <c r="P151" s="501"/>
      <c r="Q151" s="501"/>
      <c r="R151" s="501"/>
      <c r="S151" s="501"/>
      <c r="T151" s="501"/>
      <c r="U151" s="501"/>
      <c r="V151" s="501"/>
      <c r="W151" s="501"/>
      <c r="X151" s="502">
        <f t="shared" si="21"/>
        <v>0</v>
      </c>
      <c r="Y151" s="502">
        <f t="shared" si="22"/>
        <v>0</v>
      </c>
      <c r="Z151" s="484">
        <f>'Annual Budget '!J156</f>
        <v>4005510.04</v>
      </c>
      <c r="AJ151" s="483">
        <f t="shared" si="28"/>
        <v>0</v>
      </c>
      <c r="AK151" s="483">
        <f t="shared" si="29"/>
        <v>0</v>
      </c>
    </row>
    <row r="152" spans="1:37">
      <c r="A152" s="478">
        <v>142</v>
      </c>
      <c r="B152" s="478" t="str">
        <f t="shared" si="30"/>
        <v>9335200</v>
      </c>
      <c r="C152" s="478">
        <v>5200</v>
      </c>
      <c r="D152" s="509" cm="1">
        <f t="array" ref="D152">INDEX('Form A Mapping'!C:C, MATCH(1, (C152 &gt;= 'Form A Mapping'!A:A) * (C152 &lt;= 'Form A Mapping'!B:B), 0))</f>
        <v>26</v>
      </c>
      <c r="E152" s="500" t="s">
        <v>564</v>
      </c>
      <c r="F152" s="502">
        <f>-146393</f>
        <v>-146393</v>
      </c>
      <c r="G152" s="501"/>
      <c r="H152" s="501"/>
      <c r="I152" s="502">
        <f>573</f>
        <v>573</v>
      </c>
      <c r="J152" s="501"/>
      <c r="K152" s="502">
        <f>16936</f>
        <v>16936</v>
      </c>
      <c r="L152" s="502">
        <f>115405</f>
        <v>115405</v>
      </c>
      <c r="M152" s="501"/>
      <c r="N152" s="502">
        <f>1708</f>
        <v>1708</v>
      </c>
      <c r="O152" s="501"/>
      <c r="P152" s="501"/>
      <c r="Q152" s="501"/>
      <c r="R152" s="501"/>
      <c r="S152" s="501"/>
      <c r="T152" s="501"/>
      <c r="U152" s="502">
        <f>11771</f>
        <v>11771</v>
      </c>
      <c r="V152" s="501"/>
      <c r="W152" s="501"/>
      <c r="X152" s="502">
        <f t="shared" si="21"/>
        <v>0</v>
      </c>
      <c r="Y152" s="502">
        <f t="shared" si="22"/>
        <v>0</v>
      </c>
      <c r="AJ152" s="483">
        <f t="shared" si="28"/>
        <v>-146393</v>
      </c>
      <c r="AK152" s="483">
        <f t="shared" si="29"/>
        <v>146393</v>
      </c>
    </row>
    <row r="153" spans="1:37">
      <c r="E153" s="500" t="s">
        <v>565</v>
      </c>
      <c r="F153" s="503">
        <f t="shared" ref="F153:W153" si="34">(F151)+(F152)</f>
        <v>-146393</v>
      </c>
      <c r="G153" s="503">
        <f t="shared" si="34"/>
        <v>0</v>
      </c>
      <c r="H153" s="503">
        <f t="shared" si="34"/>
        <v>0</v>
      </c>
      <c r="I153" s="503">
        <f t="shared" si="34"/>
        <v>573</v>
      </c>
      <c r="J153" s="503">
        <f t="shared" si="34"/>
        <v>0</v>
      </c>
      <c r="K153" s="503">
        <f t="shared" si="34"/>
        <v>16936</v>
      </c>
      <c r="L153" s="503">
        <f t="shared" si="34"/>
        <v>115405</v>
      </c>
      <c r="M153" s="503">
        <f t="shared" si="34"/>
        <v>0</v>
      </c>
      <c r="N153" s="503">
        <f t="shared" si="34"/>
        <v>1708</v>
      </c>
      <c r="O153" s="503">
        <f t="shared" si="34"/>
        <v>0</v>
      </c>
      <c r="P153" s="503">
        <f t="shared" si="34"/>
        <v>0</v>
      </c>
      <c r="Q153" s="503">
        <f t="shared" si="34"/>
        <v>0</v>
      </c>
      <c r="R153" s="503">
        <f t="shared" si="34"/>
        <v>0</v>
      </c>
      <c r="S153" s="503">
        <f t="shared" si="34"/>
        <v>0</v>
      </c>
      <c r="T153" s="503">
        <f t="shared" si="34"/>
        <v>0</v>
      </c>
      <c r="U153" s="503">
        <f t="shared" si="34"/>
        <v>11771</v>
      </c>
      <c r="V153" s="503">
        <f t="shared" si="34"/>
        <v>0</v>
      </c>
      <c r="W153" s="503">
        <f t="shared" si="34"/>
        <v>0</v>
      </c>
      <c r="X153" s="503">
        <f t="shared" si="21"/>
        <v>0</v>
      </c>
      <c r="Y153" s="503">
        <f t="shared" si="22"/>
        <v>0</v>
      </c>
      <c r="AJ153" s="483">
        <f t="shared" si="28"/>
        <v>-146393</v>
      </c>
      <c r="AK153" s="483">
        <f t="shared" si="29"/>
        <v>146393</v>
      </c>
    </row>
    <row r="154" spans="1:37">
      <c r="E154" s="500" t="s">
        <v>566</v>
      </c>
      <c r="F154" s="503">
        <f t="shared" ref="F154:W154" si="35">(((((((F41)+(F95))+(F111))+(F124))+(F135))+(F146))+(F150))+(F153)</f>
        <v>2010015.5</v>
      </c>
      <c r="G154" s="503">
        <f t="shared" si="35"/>
        <v>325000</v>
      </c>
      <c r="H154" s="503">
        <f t="shared" si="35"/>
        <v>3580</v>
      </c>
      <c r="I154" s="503">
        <f t="shared" si="35"/>
        <v>573</v>
      </c>
      <c r="J154" s="503">
        <f t="shared" si="35"/>
        <v>21600</v>
      </c>
      <c r="K154" s="503">
        <f t="shared" si="35"/>
        <v>140344</v>
      </c>
      <c r="L154" s="503">
        <f t="shared" si="35"/>
        <v>916370</v>
      </c>
      <c r="M154" s="503">
        <f t="shared" si="35"/>
        <v>217544.03</v>
      </c>
      <c r="N154" s="503">
        <f t="shared" si="35"/>
        <v>47844</v>
      </c>
      <c r="O154" s="503">
        <f t="shared" si="35"/>
        <v>0</v>
      </c>
      <c r="P154" s="503">
        <f t="shared" si="35"/>
        <v>0</v>
      </c>
      <c r="Q154" s="503">
        <f t="shared" si="35"/>
        <v>6230</v>
      </c>
      <c r="R154" s="503">
        <f t="shared" si="35"/>
        <v>8000</v>
      </c>
      <c r="S154" s="503">
        <f t="shared" si="35"/>
        <v>0</v>
      </c>
      <c r="T154" s="503">
        <f t="shared" si="35"/>
        <v>0</v>
      </c>
      <c r="U154" s="503">
        <f t="shared" si="35"/>
        <v>263933</v>
      </c>
      <c r="V154" s="503">
        <f t="shared" si="35"/>
        <v>16633</v>
      </c>
      <c r="W154" s="503">
        <f t="shared" si="35"/>
        <v>27844</v>
      </c>
      <c r="X154" s="503">
        <f t="shared" ref="X154:X156" si="36">(((((((((((((((F154)+(G154))+(H154))+(I154))+(J154))+(K154))+(L154))+(M154))+(N154))+(Q154))+(R154))+(S154))+(T154))+(U154))+(V154))+(W154)</f>
        <v>4005510.53</v>
      </c>
      <c r="Y154" s="503">
        <f t="shared" ref="Y154:Y156" si="37">X154</f>
        <v>4005510.53</v>
      </c>
      <c r="AJ154" s="483">
        <f t="shared" si="28"/>
        <v>2021595.4999999998</v>
      </c>
      <c r="AK154" s="483">
        <f t="shared" si="29"/>
        <v>1983915.03</v>
      </c>
    </row>
    <row r="155" spans="1:37">
      <c r="E155" s="500" t="s">
        <v>567</v>
      </c>
      <c r="F155" s="503">
        <f t="shared" ref="F155:W155" si="38">(F24)-(F154)</f>
        <v>231759.6799999997</v>
      </c>
      <c r="G155" s="503">
        <f t="shared" si="38"/>
        <v>0</v>
      </c>
      <c r="H155" s="503">
        <f t="shared" si="38"/>
        <v>0</v>
      </c>
      <c r="I155" s="503">
        <f t="shared" si="38"/>
        <v>0</v>
      </c>
      <c r="J155" s="503">
        <f t="shared" si="38"/>
        <v>0</v>
      </c>
      <c r="K155" s="503">
        <f t="shared" si="38"/>
        <v>0</v>
      </c>
      <c r="L155" s="503">
        <f t="shared" si="38"/>
        <v>0</v>
      </c>
      <c r="M155" s="503">
        <f t="shared" si="38"/>
        <v>0</v>
      </c>
      <c r="N155" s="503">
        <f t="shared" si="38"/>
        <v>0</v>
      </c>
      <c r="O155" s="503">
        <f t="shared" si="38"/>
        <v>0</v>
      </c>
      <c r="P155" s="503">
        <f t="shared" si="38"/>
        <v>0</v>
      </c>
      <c r="Q155" s="503">
        <f t="shared" si="38"/>
        <v>0</v>
      </c>
      <c r="R155" s="503">
        <f t="shared" si="38"/>
        <v>74186</v>
      </c>
      <c r="S155" s="503">
        <f t="shared" si="38"/>
        <v>9136</v>
      </c>
      <c r="T155" s="503">
        <f t="shared" si="38"/>
        <v>14500</v>
      </c>
      <c r="U155" s="503">
        <f t="shared" si="38"/>
        <v>0</v>
      </c>
      <c r="V155" s="503">
        <f t="shared" si="38"/>
        <v>0</v>
      </c>
      <c r="W155" s="503">
        <f t="shared" si="38"/>
        <v>0</v>
      </c>
      <c r="X155" s="503">
        <f t="shared" si="36"/>
        <v>329581.6799999997</v>
      </c>
      <c r="Y155" s="503">
        <f t="shared" si="37"/>
        <v>329581.6799999997</v>
      </c>
      <c r="AJ155" s="483">
        <f t="shared" si="28"/>
        <v>315081.6799999997</v>
      </c>
      <c r="AK155" s="483">
        <f t="shared" si="29"/>
        <v>14500</v>
      </c>
    </row>
    <row r="156" spans="1:37">
      <c r="E156" s="500" t="s">
        <v>568</v>
      </c>
      <c r="F156" s="503">
        <f t="shared" ref="F156:W156" si="39">(F155)+(0)</f>
        <v>231759.6799999997</v>
      </c>
      <c r="G156" s="503">
        <f t="shared" si="39"/>
        <v>0</v>
      </c>
      <c r="H156" s="503">
        <f t="shared" si="39"/>
        <v>0</v>
      </c>
      <c r="I156" s="503">
        <f t="shared" si="39"/>
        <v>0</v>
      </c>
      <c r="J156" s="503">
        <f t="shared" si="39"/>
        <v>0</v>
      </c>
      <c r="K156" s="503">
        <f t="shared" si="39"/>
        <v>0</v>
      </c>
      <c r="L156" s="503">
        <f t="shared" si="39"/>
        <v>0</v>
      </c>
      <c r="M156" s="503">
        <f t="shared" si="39"/>
        <v>0</v>
      </c>
      <c r="N156" s="503">
        <f t="shared" si="39"/>
        <v>0</v>
      </c>
      <c r="O156" s="503">
        <f t="shared" si="39"/>
        <v>0</v>
      </c>
      <c r="P156" s="503">
        <f t="shared" si="39"/>
        <v>0</v>
      </c>
      <c r="Q156" s="503">
        <f t="shared" si="39"/>
        <v>0</v>
      </c>
      <c r="R156" s="503">
        <f t="shared" si="39"/>
        <v>74186</v>
      </c>
      <c r="S156" s="503">
        <f t="shared" si="39"/>
        <v>9136</v>
      </c>
      <c r="T156" s="503">
        <f t="shared" si="39"/>
        <v>14500</v>
      </c>
      <c r="U156" s="503">
        <f t="shared" si="39"/>
        <v>0</v>
      </c>
      <c r="V156" s="503">
        <f t="shared" si="39"/>
        <v>0</v>
      </c>
      <c r="W156" s="503">
        <f t="shared" si="39"/>
        <v>0</v>
      </c>
      <c r="X156" s="503">
        <f t="shared" si="36"/>
        <v>329581.6799999997</v>
      </c>
      <c r="Y156" s="503">
        <f t="shared" si="37"/>
        <v>329581.6799999997</v>
      </c>
      <c r="AJ156" s="483">
        <f t="shared" si="28"/>
        <v>315081.6799999997</v>
      </c>
      <c r="AK156" s="483">
        <f t="shared" si="29"/>
        <v>14500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18E30-05FC-4415-923B-9C0D1D120884}">
  <dimension ref="A1:AI41"/>
  <sheetViews>
    <sheetView topLeftCell="R1" workbookViewId="0">
      <selection activeCell="AB7" sqref="AB7:AI7"/>
    </sheetView>
  </sheetViews>
  <sheetFormatPr defaultRowHeight="15.5"/>
  <cols>
    <col min="13" max="13" width="1.69140625" customWidth="1"/>
    <col min="14" max="14" width="10.765625" bestFit="1" customWidth="1"/>
    <col min="15" max="15" width="10.84375" bestFit="1" customWidth="1"/>
    <col min="18" max="18" width="16" bestFit="1" customWidth="1"/>
    <col min="19" max="27" width="10.69140625" customWidth="1"/>
    <col min="28" max="35" width="11.53515625" customWidth="1"/>
  </cols>
  <sheetData>
    <row r="1" spans="1:35" ht="16" thickBot="1">
      <c r="A1" s="791" t="s">
        <v>603</v>
      </c>
      <c r="B1" s="792"/>
      <c r="C1" s="792"/>
      <c r="D1" s="793"/>
    </row>
    <row r="2" spans="1:35" ht="16" thickBot="1">
      <c r="A2" s="794"/>
      <c r="B2" s="795"/>
      <c r="C2" s="795"/>
      <c r="D2" s="796"/>
      <c r="H2" s="797" t="s">
        <v>604</v>
      </c>
      <c r="I2" s="798"/>
      <c r="J2" s="798"/>
      <c r="K2" s="798"/>
      <c r="L2" s="798"/>
      <c r="M2" s="798"/>
      <c r="N2" s="798"/>
      <c r="O2" s="798"/>
      <c r="P2" s="798"/>
      <c r="Q2" s="798"/>
      <c r="R2" s="798"/>
      <c r="S2" s="799"/>
      <c r="T2" s="812" t="s">
        <v>4319</v>
      </c>
      <c r="U2" s="813"/>
      <c r="V2" s="813"/>
      <c r="W2" s="814"/>
      <c r="X2" s="812" t="s">
        <v>4320</v>
      </c>
      <c r="Y2" s="813"/>
      <c r="Z2" s="813"/>
      <c r="AA2" s="814"/>
      <c r="AB2" s="800" t="s">
        <v>605</v>
      </c>
      <c r="AC2" s="800"/>
      <c r="AD2" s="800"/>
      <c r="AE2" s="801"/>
      <c r="AF2" s="802" t="s">
        <v>606</v>
      </c>
      <c r="AG2" s="800"/>
      <c r="AH2" s="800"/>
      <c r="AI2" s="801"/>
    </row>
    <row r="3" spans="1:35" ht="15.75" customHeight="1" thickTop="1">
      <c r="A3" s="510"/>
      <c r="C3" t="s">
        <v>607</v>
      </c>
      <c r="D3" s="511" t="s">
        <v>608</v>
      </c>
      <c r="H3" s="803" t="s">
        <v>609</v>
      </c>
      <c r="I3" s="788" t="s">
        <v>610</v>
      </c>
      <c r="J3" s="788" t="s">
        <v>611</v>
      </c>
      <c r="K3" s="788" t="s">
        <v>612</v>
      </c>
      <c r="L3" s="788" t="s">
        <v>611</v>
      </c>
      <c r="M3" s="806"/>
      <c r="N3" s="788" t="s">
        <v>613</v>
      </c>
      <c r="O3" s="788" t="s">
        <v>614</v>
      </c>
      <c r="P3" s="788" t="s">
        <v>615</v>
      </c>
      <c r="Q3" s="788" t="s">
        <v>616</v>
      </c>
      <c r="R3" s="788" t="s">
        <v>740</v>
      </c>
      <c r="S3" s="788" t="s">
        <v>741</v>
      </c>
      <c r="T3" s="803" t="s">
        <v>610</v>
      </c>
      <c r="U3" s="788" t="s">
        <v>611</v>
      </c>
      <c r="V3" s="788" t="s">
        <v>613</v>
      </c>
      <c r="W3" s="809" t="s">
        <v>615</v>
      </c>
      <c r="X3" s="803" t="s">
        <v>610</v>
      </c>
      <c r="Y3" s="788" t="s">
        <v>611</v>
      </c>
      <c r="Z3" s="788" t="s">
        <v>613</v>
      </c>
      <c r="AA3" s="809" t="s">
        <v>615</v>
      </c>
      <c r="AB3" s="785" t="s">
        <v>572</v>
      </c>
      <c r="AC3" s="774" t="s">
        <v>617</v>
      </c>
      <c r="AD3" s="777" t="s">
        <v>618</v>
      </c>
      <c r="AE3" s="777" t="s">
        <v>619</v>
      </c>
      <c r="AF3" s="782" t="s">
        <v>572</v>
      </c>
      <c r="AG3" s="774" t="s">
        <v>617</v>
      </c>
      <c r="AH3" s="777" t="s">
        <v>618</v>
      </c>
      <c r="AI3" s="777" t="s">
        <v>619</v>
      </c>
    </row>
    <row r="4" spans="1:35" ht="15" customHeight="1">
      <c r="A4" s="512">
        <v>1100</v>
      </c>
      <c r="B4" s="513">
        <f t="shared" ref="B4:B23" si="0">A4+99</f>
        <v>1199</v>
      </c>
      <c r="C4" s="513">
        <v>7</v>
      </c>
      <c r="D4" s="514" t="s">
        <v>620</v>
      </c>
      <c r="H4" s="804"/>
      <c r="I4" s="789"/>
      <c r="J4" s="789"/>
      <c r="K4" s="789"/>
      <c r="L4" s="789"/>
      <c r="M4" s="807"/>
      <c r="N4" s="789"/>
      <c r="O4" s="789"/>
      <c r="P4" s="789"/>
      <c r="Q4" s="789"/>
      <c r="R4" s="789"/>
      <c r="S4" s="789"/>
      <c r="T4" s="804"/>
      <c r="U4" s="789"/>
      <c r="V4" s="789"/>
      <c r="W4" s="810"/>
      <c r="X4" s="804"/>
      <c r="Y4" s="789"/>
      <c r="Z4" s="789"/>
      <c r="AA4" s="810"/>
      <c r="AB4" s="786"/>
      <c r="AC4" s="775" t="s">
        <v>621</v>
      </c>
      <c r="AD4" s="778" t="s">
        <v>621</v>
      </c>
      <c r="AE4" s="778" t="s">
        <v>621</v>
      </c>
      <c r="AF4" s="783"/>
      <c r="AG4" s="775" t="s">
        <v>621</v>
      </c>
      <c r="AH4" s="778" t="s">
        <v>621</v>
      </c>
      <c r="AI4" s="778" t="s">
        <v>621</v>
      </c>
    </row>
    <row r="5" spans="1:35" ht="15.75" customHeight="1" thickBot="1">
      <c r="A5" s="512">
        <v>1200</v>
      </c>
      <c r="B5" s="513">
        <f t="shared" si="0"/>
        <v>1299</v>
      </c>
      <c r="C5" s="513">
        <v>8</v>
      </c>
      <c r="D5" s="514" t="s">
        <v>622</v>
      </c>
      <c r="H5" s="805"/>
      <c r="I5" s="790"/>
      <c r="J5" s="790"/>
      <c r="K5" s="790"/>
      <c r="L5" s="790"/>
      <c r="M5" s="808"/>
      <c r="N5" s="790"/>
      <c r="O5" s="790"/>
      <c r="P5" s="790"/>
      <c r="Q5" s="790"/>
      <c r="R5" s="790"/>
      <c r="S5" s="790"/>
      <c r="T5" s="805"/>
      <c r="U5" s="790"/>
      <c r="V5" s="790"/>
      <c r="W5" s="811"/>
      <c r="X5" s="805"/>
      <c r="Y5" s="790"/>
      <c r="Z5" s="790"/>
      <c r="AA5" s="811"/>
      <c r="AB5" s="787"/>
      <c r="AC5" s="776"/>
      <c r="AD5" s="779"/>
      <c r="AE5" s="779"/>
      <c r="AF5" s="784"/>
      <c r="AG5" s="776"/>
      <c r="AH5" s="779"/>
      <c r="AI5" s="779"/>
    </row>
    <row r="6" spans="1:35">
      <c r="A6" s="512">
        <v>1300</v>
      </c>
      <c r="B6" s="513">
        <f t="shared" si="0"/>
        <v>1399</v>
      </c>
      <c r="C6" s="513">
        <v>9</v>
      </c>
      <c r="D6" s="514" t="s">
        <v>623</v>
      </c>
      <c r="H6" s="488"/>
      <c r="Q6" s="515"/>
      <c r="S6" s="489"/>
      <c r="T6" s="488"/>
      <c r="W6" s="489"/>
      <c r="X6" s="488"/>
      <c r="AA6" s="489"/>
    </row>
    <row r="7" spans="1:35">
      <c r="A7" s="512">
        <v>1400</v>
      </c>
      <c r="B7" s="513">
        <f t="shared" si="0"/>
        <v>1499</v>
      </c>
      <c r="C7" s="513">
        <v>10</v>
      </c>
      <c r="D7" s="514" t="s">
        <v>624</v>
      </c>
      <c r="H7" s="516">
        <v>1</v>
      </c>
      <c r="I7" s="517"/>
      <c r="J7" s="517"/>
      <c r="K7" s="517"/>
      <c r="L7" s="517"/>
      <c r="M7" s="517"/>
      <c r="N7" s="517"/>
      <c r="O7" s="517"/>
      <c r="P7" s="517"/>
      <c r="Q7" s="517"/>
      <c r="R7" s="525">
        <f>SUMIF(FBT!D:D, 'Form A Mapping'!H7,FBT!I:I)</f>
        <v>1949250.3734843242</v>
      </c>
      <c r="S7" s="526">
        <f>SUMIF(FBT!D:D, 'Form A Mapping'!H7,FBT!J:J)</f>
        <v>5218</v>
      </c>
      <c r="T7" s="628"/>
      <c r="U7" s="525"/>
      <c r="V7" s="525"/>
      <c r="W7" s="526"/>
      <c r="X7" s="628"/>
      <c r="Y7" s="525"/>
      <c r="Z7" s="525"/>
      <c r="AA7" s="526"/>
      <c r="AB7" s="477">
        <f>SUMIF('FY24'!D:D,'Form A Mapping'!H7,'FY24'!AJ:AJ)</f>
        <v>1214502.18</v>
      </c>
      <c r="AC7" s="477">
        <f>R7+N7</f>
        <v>1949250.3734843242</v>
      </c>
      <c r="AD7" s="477">
        <f>SUMIF('P&amp;L 1'!A:A, 'Form A Mapping'!H7,'P&amp;L 1'!B:B)</f>
        <v>703716.79</v>
      </c>
      <c r="AE7" s="477">
        <f>SUMIF('P&amp;L 2'!A:A, 'Form A Mapping'!H7,'P&amp;L 2'!B:B)</f>
        <v>0</v>
      </c>
      <c r="AF7" s="477">
        <f>SUMIF('FY24'!D:D,'Form A Mapping'!H7,'FY24'!AK:AK)</f>
        <v>0</v>
      </c>
      <c r="AG7" s="477">
        <f>S7+O7</f>
        <v>5218</v>
      </c>
      <c r="AH7" s="477">
        <f>IFERROR(SUMIF('P&amp;L SR 1'!A:A,H7, INDEX( 'P&amp;L SR 1'!A:ZZ, 0, MATCH("TOTAL", 'P&amp;L SR 1'!$5:$5, 0))), 0)</f>
        <v>0</v>
      </c>
      <c r="AI7" s="477">
        <f>IFERROR(SUMIF('P&amp;L SR 2'!A:A,H7, INDEX( 'P&amp;L SR 2'!A:ZZ, 0, MATCH("TOTAL", 'P&amp;L SR 2'!$5:$5, 0))), 0)</f>
        <v>0</v>
      </c>
    </row>
    <row r="8" spans="1:35">
      <c r="A8" s="512">
        <v>1500</v>
      </c>
      <c r="B8" s="513">
        <f t="shared" si="0"/>
        <v>1599</v>
      </c>
      <c r="C8" s="513">
        <v>11</v>
      </c>
      <c r="D8" s="514" t="s">
        <v>625</v>
      </c>
      <c r="H8" s="516">
        <v>2</v>
      </c>
      <c r="I8" s="517"/>
      <c r="J8" s="517"/>
      <c r="K8" s="517"/>
      <c r="L8" s="517"/>
      <c r="M8" s="517"/>
      <c r="N8" s="517"/>
      <c r="O8" s="517"/>
      <c r="P8" s="517"/>
      <c r="Q8" s="517"/>
      <c r="R8" s="525">
        <f>SUMIF(FBT!D:D, 'Form A Mapping'!H8,FBT!I:I)</f>
        <v>411600</v>
      </c>
      <c r="S8" s="526">
        <f>SUMIF(FBT!D:D, 'Form A Mapping'!H8,FBT!J:J)</f>
        <v>0</v>
      </c>
      <c r="T8" s="628"/>
      <c r="U8" s="525"/>
      <c r="V8" s="525"/>
      <c r="W8" s="526"/>
      <c r="X8" s="628"/>
      <c r="Y8" s="525"/>
      <c r="Z8" s="525"/>
      <c r="AA8" s="526"/>
      <c r="AB8" s="477">
        <f>SUMIF('FY24'!D:D,'Form A Mapping'!H8,'FY24'!AJ:AJ)</f>
        <v>108814</v>
      </c>
      <c r="AC8" s="477">
        <f t="shared" ref="AC8:AC33" si="1">R8+N8</f>
        <v>411600</v>
      </c>
      <c r="AD8" s="477">
        <f>SUMIF('P&amp;L 1'!A:A, 'Form A Mapping'!H8,'P&amp;L 1'!B:B)</f>
        <v>170136</v>
      </c>
      <c r="AE8" s="477">
        <f>SUMIF('P&amp;L 2'!A:A, 'Form A Mapping'!H8,'P&amp;L 2'!B:B)</f>
        <v>0</v>
      </c>
      <c r="AF8" s="477">
        <f>SUMIF('FY24'!D:D,'Form A Mapping'!H8,'FY24'!AK:AK)</f>
        <v>0</v>
      </c>
      <c r="AG8" s="477">
        <f t="shared" ref="AG8:AG33" si="2">S8+O8</f>
        <v>0</v>
      </c>
      <c r="AH8" s="477">
        <f>IFERROR(SUMIF('P&amp;L SR 1'!A:A,H8, INDEX( 'P&amp;L SR 1'!A:ZZ, 0, MATCH("TOTAL", 'P&amp;L SR 1'!$5:$5, 0))), 0)</f>
        <v>0</v>
      </c>
      <c r="AI8" s="477">
        <f>IFERROR(SUMIF('P&amp;L SR 2'!A:A,H8, INDEX( 'P&amp;L SR 2'!A:ZZ, 0, MATCH("TOTAL", 'P&amp;L SR 2'!$5:$5, 0))), 0)</f>
        <v>0</v>
      </c>
    </row>
    <row r="9" spans="1:35">
      <c r="A9" s="512">
        <v>1600</v>
      </c>
      <c r="B9" s="513">
        <f t="shared" si="0"/>
        <v>1699</v>
      </c>
      <c r="C9" s="513">
        <v>12</v>
      </c>
      <c r="D9" s="514" t="s">
        <v>626</v>
      </c>
      <c r="H9" s="516">
        <v>3</v>
      </c>
      <c r="I9" s="517"/>
      <c r="J9" s="517"/>
      <c r="K9" s="517"/>
      <c r="L9" s="517"/>
      <c r="M9" s="517"/>
      <c r="N9" s="517"/>
      <c r="O9" s="517"/>
      <c r="P9" s="517"/>
      <c r="Q9" s="517"/>
      <c r="R9" s="525">
        <f>SUMIF(FBT!D:D, 'Form A Mapping'!H9,FBT!I:I)</f>
        <v>1390554.1230767467</v>
      </c>
      <c r="S9" s="526">
        <f>SUMIF(FBT!D:D, 'Form A Mapping'!H9,FBT!J:J)</f>
        <v>0</v>
      </c>
      <c r="T9" s="628"/>
      <c r="U9" s="525"/>
      <c r="V9" s="525"/>
      <c r="W9" s="526"/>
      <c r="X9" s="628"/>
      <c r="Y9" s="525"/>
      <c r="Z9" s="525"/>
      <c r="AA9" s="526"/>
      <c r="AB9" s="477">
        <f>SUMIF('FY24'!D:D,'Form A Mapping'!H9,'FY24'!AJ:AJ)</f>
        <v>1013361</v>
      </c>
      <c r="AC9" s="477">
        <f t="shared" si="1"/>
        <v>1390554.1230767467</v>
      </c>
      <c r="AD9" s="477">
        <f>SUMIF('P&amp;L 1'!A:A, 'Form A Mapping'!H9,'P&amp;L 1'!B:B)</f>
        <v>416565</v>
      </c>
      <c r="AE9" s="477">
        <f>SUMIF('P&amp;L 2'!A:A, 'Form A Mapping'!H9,'P&amp;L 2'!B:B)</f>
        <v>0</v>
      </c>
      <c r="AF9" s="477">
        <f>SUMIF('FY24'!D:D,'Form A Mapping'!H9,'FY24'!AK:AK)</f>
        <v>0</v>
      </c>
      <c r="AG9" s="477">
        <f t="shared" si="2"/>
        <v>0</v>
      </c>
      <c r="AH9" s="477">
        <f>IFERROR(SUMIF('P&amp;L SR 1'!A:A,H9, INDEX( 'P&amp;L SR 1'!A:ZZ, 0, MATCH("TOTAL", 'P&amp;L SR 1'!$5:$5, 0))), 0)</f>
        <v>0</v>
      </c>
      <c r="AI9" s="477">
        <f>IFERROR(SUMIF('P&amp;L SR 2'!A:A,H9, INDEX( 'P&amp;L SR 2'!A:ZZ, 0, MATCH("TOTAL", 'P&amp;L SR 2'!$5:$5, 0))), 0)</f>
        <v>0</v>
      </c>
    </row>
    <row r="10" spans="1:35">
      <c r="A10" s="512">
        <v>2100</v>
      </c>
      <c r="B10" s="513">
        <f t="shared" si="0"/>
        <v>2199</v>
      </c>
      <c r="C10" s="513">
        <v>13</v>
      </c>
      <c r="D10" s="518" t="s">
        <v>627</v>
      </c>
      <c r="H10" s="516">
        <v>4</v>
      </c>
      <c r="I10" s="517"/>
      <c r="J10" s="517"/>
      <c r="K10" s="517"/>
      <c r="L10" s="517"/>
      <c r="M10" s="517"/>
      <c r="N10" s="517"/>
      <c r="O10" s="517"/>
      <c r="P10" s="517"/>
      <c r="Q10" s="517"/>
      <c r="R10" s="525">
        <f>SUMIF(FBT!D:D, 'Form A Mapping'!H10,FBT!I:I)</f>
        <v>0</v>
      </c>
      <c r="S10" s="526">
        <f>SUMIF(FBT!D:D, 'Form A Mapping'!H10,FBT!J:J)</f>
        <v>0</v>
      </c>
      <c r="T10" s="628"/>
      <c r="U10" s="525"/>
      <c r="V10" s="525"/>
      <c r="W10" s="526"/>
      <c r="X10" s="628"/>
      <c r="Y10" s="525"/>
      <c r="Z10" s="525"/>
      <c r="AA10" s="526"/>
      <c r="AB10" s="477">
        <f>SUMIF('FY24'!D:D,'Form A Mapping'!H10,'FY24'!AJ:AJ)</f>
        <v>0</v>
      </c>
      <c r="AC10" s="477">
        <f t="shared" si="1"/>
        <v>0</v>
      </c>
      <c r="AD10" s="477">
        <f>SUMIF('P&amp;L 1'!A:A, 'Form A Mapping'!H10,'P&amp;L 1'!B:B)</f>
        <v>0</v>
      </c>
      <c r="AE10" s="477">
        <f>SUMIF('P&amp;L 2'!A:A, 'Form A Mapping'!H10,'P&amp;L 2'!B:B)</f>
        <v>0</v>
      </c>
      <c r="AF10" s="477">
        <f>SUMIF('FY24'!D:D,'Form A Mapping'!H10,'FY24'!AK:AK)</f>
        <v>0</v>
      </c>
      <c r="AG10" s="477">
        <f t="shared" si="2"/>
        <v>0</v>
      </c>
      <c r="AH10" s="477">
        <f>IFERROR(SUMIF('P&amp;L SR 1'!A:A,H10, INDEX( 'P&amp;L SR 1'!A:ZZ, 0, MATCH("TOTAL", 'P&amp;L SR 1'!$5:$5, 0))), 0)</f>
        <v>0</v>
      </c>
      <c r="AI10" s="477">
        <f>IFERROR(SUMIF('P&amp;L SR 2'!A:A,H10, INDEX( 'P&amp;L SR 2'!A:ZZ, 0, MATCH("TOTAL", 'P&amp;L SR 2'!$5:$5, 0))), 0)</f>
        <v>0</v>
      </c>
    </row>
    <row r="11" spans="1:35">
      <c r="A11" s="512">
        <v>2200</v>
      </c>
      <c r="B11" s="513">
        <f t="shared" si="0"/>
        <v>2299</v>
      </c>
      <c r="C11" s="513">
        <v>14</v>
      </c>
      <c r="D11" s="518" t="s">
        <v>628</v>
      </c>
      <c r="H11" s="516">
        <v>5</v>
      </c>
      <c r="I11" s="517"/>
      <c r="J11" s="517"/>
      <c r="K11" s="517"/>
      <c r="L11" s="517"/>
      <c r="M11" s="517"/>
      <c r="N11" s="517"/>
      <c r="O11" s="517"/>
      <c r="P11" s="517"/>
      <c r="Q11" s="517"/>
      <c r="R11" s="525">
        <f>SUMIF(FBT!D:D, 'Form A Mapping'!H11,FBT!I:I)</f>
        <v>0</v>
      </c>
      <c r="S11" s="526">
        <f>SUMIF(FBT!D:D, 'Form A Mapping'!H11,FBT!J:J)</f>
        <v>1708582.583360787</v>
      </c>
      <c r="T11" s="628"/>
      <c r="U11" s="525"/>
      <c r="V11" s="525"/>
      <c r="W11" s="526"/>
      <c r="X11" s="628"/>
      <c r="Y11" s="525"/>
      <c r="Z11" s="525"/>
      <c r="AA11" s="526"/>
      <c r="AB11" s="477">
        <f>SUMIF('FY24'!D:D,'Form A Mapping'!H11,'FY24'!AJ:AJ)</f>
        <v>0</v>
      </c>
      <c r="AC11" s="477">
        <f t="shared" si="1"/>
        <v>0</v>
      </c>
      <c r="AD11" s="477">
        <f>SUMIF('P&amp;L 1'!A:A, 'Form A Mapping'!H11,'P&amp;L 1'!B:B)</f>
        <v>0</v>
      </c>
      <c r="AE11" s="477">
        <f>SUMIF('P&amp;L 2'!A:A, 'Form A Mapping'!H11,'P&amp;L 2'!B:B)</f>
        <v>0</v>
      </c>
      <c r="AF11" s="477">
        <f>SUMIF('FY24'!D:D,'Form A Mapping'!H11,'FY24'!AK:AK)</f>
        <v>1998415.03</v>
      </c>
      <c r="AG11" s="477">
        <f t="shared" si="2"/>
        <v>1708582.583360787</v>
      </c>
      <c r="AH11" s="477">
        <f>IFERROR(SUMIF('P&amp;L SR 1'!A:A,H11, INDEX( 'P&amp;L SR 1'!A:ZZ, 0, MATCH("TOTAL", 'P&amp;L SR 1'!$5:$5, 0))), 0)</f>
        <v>760302.39</v>
      </c>
      <c r="AI11" s="477">
        <f>IFERROR(SUMIF('P&amp;L SR 2'!A:A,H11, INDEX( 'P&amp;L SR 2'!A:ZZ, 0, MATCH("TOTAL", 'P&amp;L SR 2'!$5:$5, 0))), 0)</f>
        <v>0</v>
      </c>
    </row>
    <row r="12" spans="1:35">
      <c r="A12" s="512">
        <v>2300</v>
      </c>
      <c r="B12" s="513">
        <f t="shared" si="0"/>
        <v>2399</v>
      </c>
      <c r="C12" s="513">
        <v>15</v>
      </c>
      <c r="D12" s="518" t="s">
        <v>629</v>
      </c>
      <c r="H12" s="519"/>
      <c r="I12" s="517"/>
      <c r="J12" s="517"/>
      <c r="K12" s="517"/>
      <c r="L12" s="517"/>
      <c r="M12" s="517"/>
      <c r="N12" s="517"/>
      <c r="O12" s="517"/>
      <c r="P12" s="517"/>
      <c r="Q12" s="517"/>
      <c r="R12" s="525"/>
      <c r="S12" s="526"/>
      <c r="T12" s="635"/>
      <c r="U12" s="517"/>
      <c r="V12" s="517"/>
      <c r="W12" s="634"/>
      <c r="X12" s="638" t="s">
        <v>4321</v>
      </c>
      <c r="Y12" s="517"/>
      <c r="Z12" s="637" t="s">
        <v>4322</v>
      </c>
      <c r="AA12" s="634"/>
      <c r="AB12" s="477">
        <f>SUMIF('FY24'!D:D,'Form A Mapping'!H12,'FY24'!AJ:AJ)</f>
        <v>0</v>
      </c>
      <c r="AC12" s="477">
        <f t="shared" si="1"/>
        <v>0</v>
      </c>
      <c r="AD12" s="477">
        <f>SUMIF('P&amp;L 1'!A:A, 'Form A Mapping'!H12,'P&amp;L 1'!B:B)</f>
        <v>0</v>
      </c>
      <c r="AE12" s="477">
        <f>SUMIF('P&amp;L 2'!A:A, 'Form A Mapping'!H12,'P&amp;L 2'!B:B)</f>
        <v>0</v>
      </c>
      <c r="AF12" s="477">
        <f>SUMIF('FY24'!D:D,'Form A Mapping'!H12,'FY24'!AK:AK)</f>
        <v>0</v>
      </c>
      <c r="AG12" s="477">
        <f t="shared" si="2"/>
        <v>0</v>
      </c>
      <c r="AH12" s="477">
        <f>IFERROR(SUMIF('P&amp;L SR 1'!A:A,H12, INDEX( 'P&amp;L SR 1'!A:ZZ, 0, MATCH("TOTAL", 'P&amp;L SR 1'!$5:$5, 0))), 0)</f>
        <v>0</v>
      </c>
      <c r="AI12" s="477">
        <f>IFERROR(SUMIF('P&amp;L SR 2'!A:A,H12, INDEX( 'P&amp;L SR 2'!A:ZZ, 0, MATCH("TOTAL", 'P&amp;L SR 2'!$5:$5, 0))), 0)</f>
        <v>0</v>
      </c>
    </row>
    <row r="13" spans="1:35">
      <c r="A13" s="512">
        <v>2400</v>
      </c>
      <c r="B13" s="513">
        <f t="shared" si="0"/>
        <v>2499</v>
      </c>
      <c r="C13" s="513">
        <v>16</v>
      </c>
      <c r="D13" s="520" t="s">
        <v>630</v>
      </c>
      <c r="H13" s="521">
        <v>6</v>
      </c>
      <c r="I13" s="517"/>
      <c r="J13" s="517"/>
      <c r="K13" s="517"/>
      <c r="L13" s="517"/>
      <c r="M13" s="517"/>
      <c r="N13" s="517"/>
      <c r="O13" s="517"/>
      <c r="P13" s="517"/>
      <c r="Q13" s="517"/>
      <c r="R13" s="525">
        <f>SUMIF(FBT!D:D, 'Form A Mapping'!H13,FBT!I:I)</f>
        <v>0</v>
      </c>
      <c r="S13" s="526">
        <f>SUMIF(FBT!D:D, 'Form A Mapping'!H13,FBT!J:J)</f>
        <v>0</v>
      </c>
      <c r="T13" s="636">
        <f>SUMIF('P&amp;L 1'!$A$31:$A$43,H13,'P&amp;L 1'!$E$31:$E$43)</f>
        <v>0</v>
      </c>
      <c r="U13" s="523">
        <f>T13/$T$34</f>
        <v>0</v>
      </c>
      <c r="V13" s="522">
        <f>U13*SUM('P&amp;L 1'!$B$92)</f>
        <v>0</v>
      </c>
      <c r="W13" s="526">
        <f>V13+T13</f>
        <v>0</v>
      </c>
      <c r="X13" s="639">
        <f>SUMIF('P&amp;L 2'!$A$33:$A$61,H13,'P&amp;L 2'!$E$33:$E$61)</f>
        <v>0</v>
      </c>
      <c r="Y13" s="523" t="e">
        <f>X13/$X$34</f>
        <v>#DIV/0!</v>
      </c>
      <c r="Z13" s="640" t="e">
        <f>Y13*SUM('P&amp;L 2'!$E$158)</f>
        <v>#DIV/0!</v>
      </c>
      <c r="AA13" s="526" t="e">
        <f>Z13+X13</f>
        <v>#DIV/0!</v>
      </c>
      <c r="AB13" s="477">
        <f>SUMIF('FY24'!D:D,'Form A Mapping'!H13,'FY24'!AJ:AJ)</f>
        <v>0</v>
      </c>
      <c r="AC13" s="477">
        <f t="shared" si="1"/>
        <v>0</v>
      </c>
      <c r="AD13" s="477">
        <f>SUMIF('P&amp;L 1'!A:A, 'Form A Mapping'!H13,'P&amp;L 1'!B:B)</f>
        <v>0</v>
      </c>
      <c r="AE13" s="477">
        <f>SUMIF('P&amp;L 2'!A:A, 'Form A Mapping'!H13,'P&amp;L 2'!B:B)</f>
        <v>0</v>
      </c>
      <c r="AF13" s="477">
        <f>SUMIF('FY24'!D:D,'Form A Mapping'!H13,'FY24'!AK:AK)</f>
        <v>0</v>
      </c>
      <c r="AG13" s="477">
        <f t="shared" si="2"/>
        <v>0</v>
      </c>
      <c r="AH13" s="477">
        <f>IFERROR(SUMIF('P&amp;L SR 1'!A:A,H13, INDEX( 'P&amp;L SR 1'!A:ZZ, 0, MATCH("TOTAL", 'P&amp;L SR 1'!$5:$5, 0))), 0)</f>
        <v>0</v>
      </c>
      <c r="AI13" s="477">
        <f>IFERROR(SUMIF('P&amp;L SR 2'!A:A,H13, INDEX( 'P&amp;L SR 2'!A:ZZ, 0, MATCH("TOTAL", 'P&amp;L SR 2'!$5:$5, 0))), 0)</f>
        <v>0</v>
      </c>
    </row>
    <row r="14" spans="1:35">
      <c r="A14" s="512">
        <v>2500</v>
      </c>
      <c r="B14" s="513">
        <f t="shared" si="0"/>
        <v>2599</v>
      </c>
      <c r="C14" s="513">
        <v>17</v>
      </c>
      <c r="D14" s="518" t="s">
        <v>631</v>
      </c>
      <c r="H14" s="521">
        <v>7</v>
      </c>
      <c r="I14" s="522">
        <f>SUMIF(FBT!$D$35:$D$63, 'Form A Mapping'!H14, FBT!$I$35:$I$63)</f>
        <v>644084</v>
      </c>
      <c r="J14" s="523">
        <f t="shared" ref="J14:J33" si="3">I14/SUM($I$14:$I$30)</f>
        <v>0.57597287939047614</v>
      </c>
      <c r="K14" s="522">
        <f>SUMIF(FBT!$D$35:$D$63, 'Form A Mapping'!H14, FBT!$J$35:$J$63)</f>
        <v>650000</v>
      </c>
      <c r="L14" s="523">
        <f t="shared" ref="L14:L33" si="4">K14/SUM($K$14:$K$30)</f>
        <v>0.51229467820406827</v>
      </c>
      <c r="M14" s="524"/>
      <c r="N14" s="522">
        <f>J14*SUM(FBT!$I$66:$I$79)</f>
        <v>222817.27177502413</v>
      </c>
      <c r="O14" s="522">
        <f>J14*SUM(FBT!$J$66:$J$79)</f>
        <v>54717.423542095232</v>
      </c>
      <c r="P14" s="525">
        <f>N14+I14</f>
        <v>866901.27177502413</v>
      </c>
      <c r="Q14" s="525">
        <f>O14+K14</f>
        <v>704717.42354209523</v>
      </c>
      <c r="R14" s="525">
        <f>SUMIF(FBT!D:D, 'Form A Mapping'!H14,FBT!I:I)</f>
        <v>794084</v>
      </c>
      <c r="S14" s="526">
        <f>SUMIF(FBT!D:D, 'Form A Mapping'!H14,FBT!J:J)</f>
        <v>700000</v>
      </c>
      <c r="T14" s="636">
        <f>SUMIF('P&amp;L 1'!$A$31:$A$43,H14,'P&amp;L 1'!$E$31:$E$43)</f>
        <v>507816.79000000004</v>
      </c>
      <c r="U14" s="523">
        <f t="shared" ref="U14:U33" si="5">T14/$T$34</f>
        <v>0.50538710108058704</v>
      </c>
      <c r="V14" s="522">
        <f>U14*SUM('P&amp;L 1'!$B$92)</f>
        <v>104019.84456506073</v>
      </c>
      <c r="W14" s="526">
        <f t="shared" ref="W14:W33" si="6">V14+T14</f>
        <v>611836.63456506073</v>
      </c>
      <c r="X14" s="639">
        <f>SUMIF('P&amp;L 2'!$A$33:$A$61,H14,'P&amp;L 2'!$E$33:$E$61)</f>
        <v>0</v>
      </c>
      <c r="Y14" s="523" t="e">
        <f t="shared" ref="Y14:Y33" si="7">X14/$X$34</f>
        <v>#DIV/0!</v>
      </c>
      <c r="Z14" s="640" t="e">
        <f>Y14*SUM('P&amp;L 2'!$E$158)</f>
        <v>#DIV/0!</v>
      </c>
      <c r="AA14" s="526" t="e">
        <f t="shared" ref="AA14:AA33" si="8">Z14+X14</f>
        <v>#DIV/0!</v>
      </c>
      <c r="AB14" s="477">
        <f>SUMIF('FY24'!D:D,'Form A Mapping'!H14,'FY24'!AJ:AJ)</f>
        <v>698948.7100000002</v>
      </c>
      <c r="AC14" s="477">
        <f t="shared" si="1"/>
        <v>1016901.2717750241</v>
      </c>
      <c r="AD14" s="477">
        <f>SUMIF('P&amp;L 1'!A:A, 'Form A Mapping'!H14,'P&amp;L 1'!B:B)</f>
        <v>535124.29</v>
      </c>
      <c r="AE14" s="477">
        <f>SUMIF('P&amp;L 2'!A:A, 'Form A Mapping'!H14,'P&amp;L 2'!B:B)</f>
        <v>0</v>
      </c>
      <c r="AF14" s="477">
        <f>SUMIF('FY24'!D:D,'Form A Mapping'!H14,'FY24'!AK:AK)</f>
        <v>700082</v>
      </c>
      <c r="AG14" s="477">
        <f t="shared" si="2"/>
        <v>754717.42354209523</v>
      </c>
      <c r="AH14" s="477">
        <f>IFERROR(SUMIF('P&amp;L SR 1'!A:A,H14, INDEX( 'P&amp;L SR 1'!A:ZZ, 0, MATCH("TOTAL", 'P&amp;L SR 1'!$5:$5, 0))), 0)</f>
        <v>250195.46999999994</v>
      </c>
      <c r="AI14" s="477">
        <f>IFERROR(SUMIF('P&amp;L SR 2'!A:A,H14, INDEX( 'P&amp;L SR 2'!A:ZZ, 0, MATCH("TOTAL", 'P&amp;L SR 2'!$5:$5, 0))), 0)</f>
        <v>0</v>
      </c>
    </row>
    <row r="15" spans="1:35">
      <c r="A15" s="512">
        <v>2600</v>
      </c>
      <c r="B15" s="513">
        <f t="shared" si="0"/>
        <v>2699</v>
      </c>
      <c r="C15" s="513">
        <v>18</v>
      </c>
      <c r="D15" s="518" t="s">
        <v>632</v>
      </c>
      <c r="H15" s="521">
        <v>8</v>
      </c>
      <c r="I15" s="522">
        <f>SUMIF(FBT!$D$35:$D$63, 'Form A Mapping'!H15, FBT!$I$35:$I$63)</f>
        <v>12672</v>
      </c>
      <c r="J15" s="523">
        <f t="shared" si="3"/>
        <v>1.1331950999615132E-2</v>
      </c>
      <c r="K15" s="522">
        <f>SUMIF(FBT!$D$35:$D$63, 'Form A Mapping'!H15, FBT!$J$35:$J$63)</f>
        <v>138300</v>
      </c>
      <c r="L15" s="523">
        <f t="shared" si="4"/>
        <v>0.10900054460865022</v>
      </c>
      <c r="M15" s="524"/>
      <c r="N15" s="522">
        <f>J15*SUM(FBT!$I$66:$I$79)</f>
        <v>4383.8078075733993</v>
      </c>
      <c r="O15" s="522">
        <f>J15*SUM(FBT!$J$66:$J$79)</f>
        <v>1076.5353449634376</v>
      </c>
      <c r="P15" s="525">
        <f t="shared" ref="P15:P33" si="9">N15+I15</f>
        <v>17055.807807573401</v>
      </c>
      <c r="Q15" s="525">
        <f t="shared" ref="Q15:Q33" si="10">O15+K15</f>
        <v>139376.53534496343</v>
      </c>
      <c r="R15" s="525">
        <f>SUMIF(FBT!D:D, 'Form A Mapping'!H15,FBT!I:I)</f>
        <v>52422</v>
      </c>
      <c r="S15" s="526">
        <f>SUMIF(FBT!D:D, 'Form A Mapping'!H15,FBT!J:J)</f>
        <v>138300</v>
      </c>
      <c r="T15" s="636">
        <f>SUMIF('P&amp;L 1'!$A$31:$A$43,H15,'P&amp;L 1'!$E$31:$E$43)</f>
        <v>103426.94</v>
      </c>
      <c r="U15" s="523">
        <f t="shared" si="5"/>
        <v>0.1029320857631269</v>
      </c>
      <c r="V15" s="522">
        <f>U15*SUM('P&amp;L 1'!$B$92)</f>
        <v>21185.700107788598</v>
      </c>
      <c r="W15" s="526">
        <f t="shared" si="6"/>
        <v>124612.6401077886</v>
      </c>
      <c r="X15" s="639">
        <f>SUMIF('P&amp;L 2'!$A$33:$A$61,H15,'P&amp;L 2'!$E$33:$E$61)</f>
        <v>0</v>
      </c>
      <c r="Y15" s="523" t="e">
        <f t="shared" si="7"/>
        <v>#DIV/0!</v>
      </c>
      <c r="Z15" s="640" t="e">
        <f>Y15*SUM('P&amp;L 2'!$E$158)</f>
        <v>#DIV/0!</v>
      </c>
      <c r="AA15" s="526" t="e">
        <f t="shared" si="8"/>
        <v>#DIV/0!</v>
      </c>
      <c r="AB15" s="477">
        <f>SUMIF('FY24'!D:D,'Form A Mapping'!H15,'FY24'!AJ:AJ)</f>
        <v>148471.91</v>
      </c>
      <c r="AC15" s="477">
        <f t="shared" si="1"/>
        <v>56805.807807573401</v>
      </c>
      <c r="AD15" s="477">
        <f>SUMIF('P&amp;L 1'!A:A, 'Form A Mapping'!H15,'P&amp;L 1'!B:B)</f>
        <v>85121.390000000014</v>
      </c>
      <c r="AE15" s="477">
        <f>SUMIF('P&amp;L 2'!A:A, 'Form A Mapping'!H15,'P&amp;L 2'!B:B)</f>
        <v>0</v>
      </c>
      <c r="AF15" s="477">
        <f>SUMIF('FY24'!D:D,'Form A Mapping'!H15,'FY24'!AK:AK)</f>
        <v>88811</v>
      </c>
      <c r="AG15" s="477">
        <f t="shared" si="2"/>
        <v>139376.53534496343</v>
      </c>
      <c r="AH15" s="477">
        <f>IFERROR(SUMIF('P&amp;L SR 1'!A:A,H15, INDEX( 'P&amp;L SR 1'!A:ZZ, 0, MATCH("TOTAL", 'P&amp;L SR 1'!$5:$5, 0))), 0)</f>
        <v>38202.649999999994</v>
      </c>
      <c r="AI15" s="477">
        <f>IFERROR(SUMIF('P&amp;L SR 2'!A:A,H15, INDEX( 'P&amp;L SR 2'!A:ZZ, 0, MATCH("TOTAL", 'P&amp;L SR 2'!$5:$5, 0))), 0)</f>
        <v>0</v>
      </c>
    </row>
    <row r="16" spans="1:35">
      <c r="A16" s="512">
        <v>2700</v>
      </c>
      <c r="B16" s="513">
        <f t="shared" si="0"/>
        <v>2799</v>
      </c>
      <c r="C16" s="513">
        <v>19</v>
      </c>
      <c r="D16" s="518" t="s">
        <v>633</v>
      </c>
      <c r="H16" s="521">
        <v>9</v>
      </c>
      <c r="I16" s="522">
        <f>SUMIF(FBT!$D$35:$D$63, 'Form A Mapping'!H16, FBT!$I$35:$I$63)</f>
        <v>0</v>
      </c>
      <c r="J16" s="523">
        <f t="shared" si="3"/>
        <v>0</v>
      </c>
      <c r="K16" s="522">
        <f>SUMIF(FBT!$D$35:$D$63, 'Form A Mapping'!H16, FBT!$J$35:$J$63)</f>
        <v>0</v>
      </c>
      <c r="L16" s="523">
        <f t="shared" si="4"/>
        <v>0</v>
      </c>
      <c r="M16" s="524"/>
      <c r="N16" s="522">
        <f>J16*SUM(FBT!$I$66:$I$79)</f>
        <v>0</v>
      </c>
      <c r="O16" s="522">
        <f>J16*SUM(FBT!$J$66:$J$79)</f>
        <v>0</v>
      </c>
      <c r="P16" s="525">
        <f t="shared" si="9"/>
        <v>0</v>
      </c>
      <c r="Q16" s="525">
        <f t="shared" si="10"/>
        <v>0</v>
      </c>
      <c r="R16" s="525">
        <f>SUMIF(FBT!D:D, 'Form A Mapping'!H16,FBT!I:I)</f>
        <v>0</v>
      </c>
      <c r="S16" s="526">
        <f>SUMIF(FBT!D:D, 'Form A Mapping'!H16,FBT!J:J)</f>
        <v>0</v>
      </c>
      <c r="T16" s="636">
        <f>SUMIF('P&amp;L 1'!$A$31:$A$43,H16,'P&amp;L 1'!$E$31:$E$43)</f>
        <v>0</v>
      </c>
      <c r="U16" s="523">
        <f t="shared" si="5"/>
        <v>0</v>
      </c>
      <c r="V16" s="522">
        <f>U16*SUM('P&amp;L 1'!$B$92)</f>
        <v>0</v>
      </c>
      <c r="W16" s="526">
        <f t="shared" si="6"/>
        <v>0</v>
      </c>
      <c r="X16" s="639">
        <f>SUMIF('P&amp;L 2'!$A$33:$A$61,H16,'P&amp;L 2'!$E$33:$E$61)</f>
        <v>0</v>
      </c>
      <c r="Y16" s="523" t="e">
        <f t="shared" si="7"/>
        <v>#DIV/0!</v>
      </c>
      <c r="Z16" s="640" t="e">
        <f>Y16*SUM('P&amp;L 2'!$E$158)</f>
        <v>#DIV/0!</v>
      </c>
      <c r="AA16" s="526" t="e">
        <f t="shared" si="8"/>
        <v>#DIV/0!</v>
      </c>
      <c r="AB16" s="477">
        <f>SUMIF('FY24'!D:D,'Form A Mapping'!H16,'FY24'!AJ:AJ)</f>
        <v>0</v>
      </c>
      <c r="AC16" s="477">
        <f t="shared" si="1"/>
        <v>0</v>
      </c>
      <c r="AD16" s="477">
        <f>SUMIF('P&amp;L 1'!A:A, 'Form A Mapping'!H16,'P&amp;L 1'!B:B)</f>
        <v>0</v>
      </c>
      <c r="AE16" s="477">
        <f>SUMIF('P&amp;L 2'!A:A, 'Form A Mapping'!H16,'P&amp;L 2'!B:B)</f>
        <v>0</v>
      </c>
      <c r="AF16" s="477">
        <f>SUMIF('FY24'!D:D,'Form A Mapping'!H16,'FY24'!AK:AK)</f>
        <v>0</v>
      </c>
      <c r="AG16" s="477">
        <f t="shared" si="2"/>
        <v>0</v>
      </c>
      <c r="AH16" s="477">
        <f>IFERROR(SUMIF('P&amp;L SR 1'!A:A,H16, INDEX( 'P&amp;L SR 1'!A:ZZ, 0, MATCH("TOTAL", 'P&amp;L SR 1'!$5:$5, 0))), 0)</f>
        <v>0</v>
      </c>
      <c r="AI16" s="477">
        <f>IFERROR(SUMIF('P&amp;L SR 2'!A:A,H16, INDEX( 'P&amp;L SR 2'!A:ZZ, 0, MATCH("TOTAL", 'P&amp;L SR 2'!$5:$5, 0))), 0)</f>
        <v>0</v>
      </c>
    </row>
    <row r="17" spans="1:35">
      <c r="A17" s="512">
        <v>2800</v>
      </c>
      <c r="B17" s="513">
        <f t="shared" si="0"/>
        <v>2899</v>
      </c>
      <c r="C17" s="513">
        <v>20</v>
      </c>
      <c r="D17" s="518" t="s">
        <v>634</v>
      </c>
      <c r="H17" s="521">
        <v>10</v>
      </c>
      <c r="I17" s="522">
        <f>SUMIF(FBT!$D$35:$D$63, 'Form A Mapping'!H17, FBT!$I$35:$I$63)</f>
        <v>0</v>
      </c>
      <c r="J17" s="523">
        <f t="shared" si="3"/>
        <v>0</v>
      </c>
      <c r="K17" s="522">
        <f>SUMIF(FBT!$D$35:$D$63, 'Form A Mapping'!H17, FBT!$J$35:$J$63)</f>
        <v>0</v>
      </c>
      <c r="L17" s="523">
        <f t="shared" si="4"/>
        <v>0</v>
      </c>
      <c r="M17" s="524"/>
      <c r="N17" s="522">
        <f>J17*SUM(FBT!$I$66:$I$79)</f>
        <v>0</v>
      </c>
      <c r="O17" s="522">
        <f>J17*SUM(FBT!$J$66:$J$79)</f>
        <v>0</v>
      </c>
      <c r="P17" s="525">
        <f t="shared" si="9"/>
        <v>0</v>
      </c>
      <c r="Q17" s="525">
        <f t="shared" si="10"/>
        <v>0</v>
      </c>
      <c r="R17" s="525">
        <f>SUMIF(FBT!D:D, 'Form A Mapping'!H17,FBT!I:I)</f>
        <v>5000</v>
      </c>
      <c r="S17" s="526">
        <f>SUMIF(FBT!D:D, 'Form A Mapping'!H17,FBT!J:J)</f>
        <v>0</v>
      </c>
      <c r="T17" s="636">
        <f>SUMIF('P&amp;L 1'!$A$31:$A$43,H17,'P&amp;L 1'!$E$31:$E$43)</f>
        <v>0</v>
      </c>
      <c r="U17" s="523">
        <f t="shared" si="5"/>
        <v>0</v>
      </c>
      <c r="V17" s="522">
        <f>U17*SUM('P&amp;L 1'!$B$92)</f>
        <v>0</v>
      </c>
      <c r="W17" s="526">
        <f t="shared" si="6"/>
        <v>0</v>
      </c>
      <c r="X17" s="639">
        <f>SUMIF('P&amp;L 2'!$A$33:$A$61,H17,'P&amp;L 2'!$E$33:$E$61)</f>
        <v>0</v>
      </c>
      <c r="Y17" s="523" t="e">
        <f t="shared" si="7"/>
        <v>#DIV/0!</v>
      </c>
      <c r="Z17" s="640" t="e">
        <f>Y17*SUM('P&amp;L 2'!$E$158)</f>
        <v>#DIV/0!</v>
      </c>
      <c r="AA17" s="526" t="e">
        <f t="shared" si="8"/>
        <v>#DIV/0!</v>
      </c>
      <c r="AB17" s="477">
        <f>SUMIF('FY24'!D:D,'Form A Mapping'!H17,'FY24'!AJ:AJ)</f>
        <v>0</v>
      </c>
      <c r="AC17" s="477">
        <f t="shared" si="1"/>
        <v>5000</v>
      </c>
      <c r="AD17" s="477">
        <f>SUMIF('P&amp;L 1'!A:A, 'Form A Mapping'!H17,'P&amp;L 1'!B:B)</f>
        <v>0</v>
      </c>
      <c r="AE17" s="477">
        <f>SUMIF('P&amp;L 2'!A:A, 'Form A Mapping'!H17,'P&amp;L 2'!B:B)</f>
        <v>0</v>
      </c>
      <c r="AF17" s="477">
        <f>SUMIF('FY24'!D:D,'Form A Mapping'!H17,'FY24'!AK:AK)</f>
        <v>0</v>
      </c>
      <c r="AG17" s="477">
        <f t="shared" si="2"/>
        <v>0</v>
      </c>
      <c r="AH17" s="477">
        <f>IFERROR(SUMIF('P&amp;L SR 1'!A:A,H17, INDEX( 'P&amp;L SR 1'!A:ZZ, 0, MATCH("TOTAL", 'P&amp;L SR 1'!$5:$5, 0))), 0)</f>
        <v>0</v>
      </c>
      <c r="AI17" s="477">
        <f>IFERROR(SUMIF('P&amp;L SR 2'!A:A,H17, INDEX( 'P&amp;L SR 2'!A:ZZ, 0, MATCH("TOTAL", 'P&amp;L SR 2'!$5:$5, 0))), 0)</f>
        <v>0</v>
      </c>
    </row>
    <row r="18" spans="1:35">
      <c r="A18" s="512">
        <v>3100</v>
      </c>
      <c r="B18" s="513">
        <f t="shared" si="0"/>
        <v>3199</v>
      </c>
      <c r="C18" s="513">
        <v>21</v>
      </c>
      <c r="D18" s="518" t="s">
        <v>635</v>
      </c>
      <c r="H18" s="521">
        <v>11</v>
      </c>
      <c r="I18" s="522">
        <f>SUMIF(FBT!$D$35:$D$63, 'Form A Mapping'!H18, FBT!$I$35:$I$63)</f>
        <v>70000</v>
      </c>
      <c r="J18" s="523">
        <f t="shared" si="3"/>
        <v>6.2597582857722475E-2</v>
      </c>
      <c r="K18" s="522">
        <f>SUMIF(FBT!$D$35:$D$63, 'Form A Mapping'!H18, FBT!$J$35:$J$63)</f>
        <v>96350</v>
      </c>
      <c r="L18" s="523">
        <f t="shared" si="4"/>
        <v>7.5937834223018419E-2</v>
      </c>
      <c r="M18" s="524"/>
      <c r="N18" s="522">
        <f>J18*SUM(FBT!$I$66:$I$79)</f>
        <v>24216.110048148512</v>
      </c>
      <c r="O18" s="522">
        <f>J18*SUM(FBT!$J$66:$J$79)</f>
        <v>5946.7703714836352</v>
      </c>
      <c r="P18" s="525">
        <f t="shared" si="9"/>
        <v>94216.110048148519</v>
      </c>
      <c r="Q18" s="525">
        <f t="shared" si="10"/>
        <v>102296.77037148364</v>
      </c>
      <c r="R18" s="525">
        <f>SUMIF(FBT!D:D, 'Form A Mapping'!H18,FBT!I:I)</f>
        <v>70000</v>
      </c>
      <c r="S18" s="526">
        <f>SUMIF(FBT!D:D, 'Form A Mapping'!H18,FBT!J:J)</f>
        <v>96350</v>
      </c>
      <c r="T18" s="636">
        <f>SUMIF('P&amp;L 1'!$A$31:$A$43,H18,'P&amp;L 1'!$E$31:$E$43)</f>
        <v>23635.56</v>
      </c>
      <c r="U18" s="523">
        <f t="shared" si="5"/>
        <v>2.3522473825287025E-2</v>
      </c>
      <c r="V18" s="522">
        <f>U18*SUM('P&amp;L 1'!$B$92)</f>
        <v>4841.4454303650855</v>
      </c>
      <c r="W18" s="526">
        <f t="shared" si="6"/>
        <v>28477.005430365087</v>
      </c>
      <c r="X18" s="639">
        <f>SUMIF('P&amp;L 2'!$A$33:$A$61,H18,'P&amp;L 2'!$E$33:$E$61)</f>
        <v>0</v>
      </c>
      <c r="Y18" s="523" t="e">
        <f t="shared" si="7"/>
        <v>#DIV/0!</v>
      </c>
      <c r="Z18" s="640" t="e">
        <f>Y18*SUM('P&amp;L 2'!$E$158)</f>
        <v>#DIV/0!</v>
      </c>
      <c r="AA18" s="526" t="e">
        <f t="shared" si="8"/>
        <v>#DIV/0!</v>
      </c>
      <c r="AB18" s="477">
        <f>SUMIF('FY24'!D:D,'Form A Mapping'!H18,'FY24'!AJ:AJ)</f>
        <v>97866.67</v>
      </c>
      <c r="AC18" s="477">
        <f t="shared" si="1"/>
        <v>94216.110048148519</v>
      </c>
      <c r="AD18" s="477">
        <f>SUMIF('P&amp;L 1'!A:A, 'Form A Mapping'!H18,'P&amp;L 1'!B:B)</f>
        <v>24834.65</v>
      </c>
      <c r="AE18" s="477">
        <f>SUMIF('P&amp;L 2'!A:A, 'Form A Mapping'!H18,'P&amp;L 2'!B:B)</f>
        <v>0</v>
      </c>
      <c r="AF18" s="477">
        <f>SUMIF('FY24'!D:D,'Form A Mapping'!H18,'FY24'!AK:AK)</f>
        <v>1251</v>
      </c>
      <c r="AG18" s="477">
        <f t="shared" si="2"/>
        <v>102296.77037148364</v>
      </c>
      <c r="AH18" s="477">
        <f>IFERROR(SUMIF('P&amp;L SR 1'!A:A,H18, INDEX( 'P&amp;L SR 1'!A:ZZ, 0, MATCH("TOTAL", 'P&amp;L SR 1'!$5:$5, 0))), 0)</f>
        <v>800</v>
      </c>
      <c r="AI18" s="477">
        <f>IFERROR(SUMIF('P&amp;L SR 2'!A:A,H18, INDEX( 'P&amp;L SR 2'!A:ZZ, 0, MATCH("TOTAL", 'P&amp;L SR 2'!$5:$5, 0))), 0)</f>
        <v>0</v>
      </c>
    </row>
    <row r="19" spans="1:35">
      <c r="A19" s="512">
        <v>3200</v>
      </c>
      <c r="B19" s="513">
        <f t="shared" si="0"/>
        <v>3299</v>
      </c>
      <c r="C19" s="513">
        <v>22</v>
      </c>
      <c r="D19" s="518" t="s">
        <v>636</v>
      </c>
      <c r="H19" s="521">
        <v>12</v>
      </c>
      <c r="I19" s="522">
        <f>SUMIF(FBT!$D$35:$D$63, 'Form A Mapping'!H19, FBT!$I$35:$I$63)</f>
        <v>0</v>
      </c>
      <c r="J19" s="523">
        <f t="shared" si="3"/>
        <v>0</v>
      </c>
      <c r="K19" s="522">
        <f>SUMIF(FBT!$D$35:$D$63, 'Form A Mapping'!H19, FBT!$J$35:$J$63)</f>
        <v>0</v>
      </c>
      <c r="L19" s="523">
        <f t="shared" si="4"/>
        <v>0</v>
      </c>
      <c r="M19" s="524"/>
      <c r="N19" s="522">
        <f>J19*SUM(FBT!$I$66:$I$79)</f>
        <v>0</v>
      </c>
      <c r="O19" s="522">
        <f>J19*SUM(FBT!$J$66:$J$79)</f>
        <v>0</v>
      </c>
      <c r="P19" s="525">
        <f t="shared" si="9"/>
        <v>0</v>
      </c>
      <c r="Q19" s="525">
        <f t="shared" si="10"/>
        <v>0</v>
      </c>
      <c r="R19" s="525">
        <f>SUMIF(FBT!D:D, 'Form A Mapping'!H19,FBT!I:I)</f>
        <v>0</v>
      </c>
      <c r="S19" s="526">
        <f>SUMIF(FBT!D:D, 'Form A Mapping'!H19,FBT!J:J)</f>
        <v>0</v>
      </c>
      <c r="T19" s="636">
        <f>SUMIF('P&amp;L 1'!$A$31:$A$43,H19,'P&amp;L 1'!$E$31:$E$43)</f>
        <v>0</v>
      </c>
      <c r="U19" s="523">
        <f t="shared" si="5"/>
        <v>0</v>
      </c>
      <c r="V19" s="522">
        <f>U19*SUM('P&amp;L 1'!$B$92)</f>
        <v>0</v>
      </c>
      <c r="W19" s="526">
        <f t="shared" si="6"/>
        <v>0</v>
      </c>
      <c r="X19" s="639">
        <f>SUMIF('P&amp;L 2'!$A$33:$A$61,H19,'P&amp;L 2'!$E$33:$E$61)</f>
        <v>0</v>
      </c>
      <c r="Y19" s="523" t="e">
        <f t="shared" si="7"/>
        <v>#DIV/0!</v>
      </c>
      <c r="Z19" s="640" t="e">
        <f>Y19*SUM('P&amp;L 2'!$E$158)</f>
        <v>#DIV/0!</v>
      </c>
      <c r="AA19" s="526" t="e">
        <f t="shared" si="8"/>
        <v>#DIV/0!</v>
      </c>
      <c r="AB19" s="477">
        <f>SUMIF('FY24'!D:D,'Form A Mapping'!H19,'FY24'!AJ:AJ)</f>
        <v>0</v>
      </c>
      <c r="AC19" s="477">
        <f t="shared" si="1"/>
        <v>0</v>
      </c>
      <c r="AD19" s="477">
        <f>SUMIF('P&amp;L 1'!A:A, 'Form A Mapping'!H19,'P&amp;L 1'!B:B)</f>
        <v>0</v>
      </c>
      <c r="AE19" s="477">
        <f>SUMIF('P&amp;L 2'!A:A, 'Form A Mapping'!H19,'P&amp;L 2'!B:B)</f>
        <v>0</v>
      </c>
      <c r="AF19" s="477">
        <f>SUMIF('FY24'!D:D,'Form A Mapping'!H19,'FY24'!AK:AK)</f>
        <v>0</v>
      </c>
      <c r="AG19" s="477">
        <f t="shared" si="2"/>
        <v>0</v>
      </c>
      <c r="AH19" s="477">
        <f>IFERROR(SUMIF('P&amp;L SR 1'!A:A,H19, INDEX( 'P&amp;L SR 1'!A:ZZ, 0, MATCH("TOTAL", 'P&amp;L SR 1'!$5:$5, 0))), 0)</f>
        <v>0</v>
      </c>
      <c r="AI19" s="477">
        <f>IFERROR(SUMIF('P&amp;L SR 2'!A:A,H19, INDEX( 'P&amp;L SR 2'!A:ZZ, 0, MATCH("TOTAL", 'P&amp;L SR 2'!$5:$5, 0))), 0)</f>
        <v>0</v>
      </c>
    </row>
    <row r="20" spans="1:35">
      <c r="A20" s="512">
        <v>3300</v>
      </c>
      <c r="B20" s="513">
        <f t="shared" si="0"/>
        <v>3399</v>
      </c>
      <c r="C20" s="513">
        <v>23</v>
      </c>
      <c r="D20" s="518" t="s">
        <v>637</v>
      </c>
      <c r="H20" s="521">
        <v>13</v>
      </c>
      <c r="I20" s="522">
        <f>SUMIF(FBT!$D$35:$D$63, 'Form A Mapping'!H20, FBT!$I$35:$I$63)</f>
        <v>0</v>
      </c>
      <c r="J20" s="523">
        <f t="shared" si="3"/>
        <v>0</v>
      </c>
      <c r="K20" s="522">
        <f>SUMIF(FBT!$D$35:$D$63, 'Form A Mapping'!H20, FBT!$J$35:$J$63)</f>
        <v>55336</v>
      </c>
      <c r="L20" s="523">
        <f t="shared" si="4"/>
        <v>4.3612828174000494E-2</v>
      </c>
      <c r="M20" s="524"/>
      <c r="N20" s="522">
        <f>J20*SUM(FBT!$I$66:$I$79)</f>
        <v>0</v>
      </c>
      <c r="O20" s="522">
        <f>J20*SUM(FBT!$J$66:$J$79)</f>
        <v>0</v>
      </c>
      <c r="P20" s="525">
        <f t="shared" si="9"/>
        <v>0</v>
      </c>
      <c r="Q20" s="525">
        <f t="shared" si="10"/>
        <v>55336</v>
      </c>
      <c r="R20" s="525">
        <f>SUMIF(FBT!D:D, 'Form A Mapping'!H20,FBT!I:I)</f>
        <v>92250</v>
      </c>
      <c r="S20" s="526">
        <f>SUMIF(FBT!D:D, 'Form A Mapping'!H20,FBT!J:J)</f>
        <v>55336</v>
      </c>
      <c r="T20" s="636">
        <f>SUMIF('P&amp;L 1'!$A$31:$A$43,H20,'P&amp;L 1'!$E$31:$E$43)</f>
        <v>50457.69</v>
      </c>
      <c r="U20" s="523">
        <f t="shared" si="5"/>
        <v>5.021627125862247E-2</v>
      </c>
      <c r="V20" s="522">
        <f>U20*SUM('P&amp;L 1'!$B$92)</f>
        <v>10335.619408944747</v>
      </c>
      <c r="W20" s="526">
        <f t="shared" si="6"/>
        <v>60793.309408944748</v>
      </c>
      <c r="X20" s="639">
        <f>SUMIF('P&amp;L 2'!$A$33:$A$61,H20,'P&amp;L 2'!$E$33:$E$61)</f>
        <v>0</v>
      </c>
      <c r="Y20" s="523" t="e">
        <f t="shared" si="7"/>
        <v>#DIV/0!</v>
      </c>
      <c r="Z20" s="640" t="e">
        <f>Y20*SUM('P&amp;L 2'!$E$158)</f>
        <v>#DIV/0!</v>
      </c>
      <c r="AA20" s="526" t="e">
        <f t="shared" si="8"/>
        <v>#DIV/0!</v>
      </c>
      <c r="AB20" s="477">
        <f>SUMIF('FY24'!D:D,'Form A Mapping'!H20,'FY24'!AJ:AJ)</f>
        <v>91767.159999999989</v>
      </c>
      <c r="AC20" s="477">
        <f t="shared" si="1"/>
        <v>92250</v>
      </c>
      <c r="AD20" s="477">
        <f>SUMIF('P&amp;L 1'!A:A, 'Form A Mapping'!H20,'P&amp;L 1'!B:B)</f>
        <v>91872.55</v>
      </c>
      <c r="AE20" s="477">
        <f>SUMIF('P&amp;L 2'!A:A, 'Form A Mapping'!H20,'P&amp;L 2'!B:B)</f>
        <v>0</v>
      </c>
      <c r="AF20" s="477">
        <f>SUMIF('FY24'!D:D,'Form A Mapping'!H20,'FY24'!AK:AK)</f>
        <v>63984</v>
      </c>
      <c r="AG20" s="477">
        <f t="shared" si="2"/>
        <v>55336</v>
      </c>
      <c r="AH20" s="477">
        <f>IFERROR(SUMIF('P&amp;L SR 1'!A:A,H20, INDEX( 'P&amp;L SR 1'!A:ZZ, 0, MATCH("TOTAL", 'P&amp;L SR 1'!$5:$5, 0))), 0)</f>
        <v>800</v>
      </c>
      <c r="AI20" s="477">
        <f>IFERROR(SUMIF('P&amp;L SR 2'!A:A,H20, INDEX( 'P&amp;L SR 2'!A:ZZ, 0, MATCH("TOTAL", 'P&amp;L SR 2'!$5:$5, 0))), 0)</f>
        <v>0</v>
      </c>
    </row>
    <row r="21" spans="1:35">
      <c r="A21" s="512">
        <v>4000</v>
      </c>
      <c r="B21" s="513">
        <f t="shared" si="0"/>
        <v>4099</v>
      </c>
      <c r="C21" s="513">
        <v>24</v>
      </c>
      <c r="D21" s="527" t="s">
        <v>638</v>
      </c>
      <c r="H21" s="521">
        <v>14</v>
      </c>
      <c r="I21" s="522">
        <f>SUMIF(FBT!$D$35:$D$63, 'Form A Mapping'!H21, FBT!$I$35:$I$63)</f>
        <v>15551</v>
      </c>
      <c r="J21" s="523">
        <f t="shared" si="3"/>
        <v>1.390650015743489E-2</v>
      </c>
      <c r="K21" s="522">
        <f>SUMIF(FBT!$D$35:$D$63, 'Form A Mapping'!H21, FBT!$J$35:$J$63)</f>
        <v>47635</v>
      </c>
      <c r="L21" s="523">
        <f t="shared" si="4"/>
        <v>3.7543318455770448E-2</v>
      </c>
      <c r="M21" s="524"/>
      <c r="N21" s="522">
        <f>J21*SUM(FBT!$I$66:$I$79)</f>
        <v>5379.7818194108222</v>
      </c>
      <c r="O21" s="522">
        <f>J21*SUM(FBT!$J$66:$J$79)</f>
        <v>1321.1175149563146</v>
      </c>
      <c r="P21" s="525">
        <f t="shared" si="9"/>
        <v>20930.781819410822</v>
      </c>
      <c r="Q21" s="525">
        <f t="shared" si="10"/>
        <v>48956.117514956313</v>
      </c>
      <c r="R21" s="525">
        <f>SUMIF(FBT!D:D, 'Form A Mapping'!H21,FBT!I:I)</f>
        <v>189256</v>
      </c>
      <c r="S21" s="526">
        <f>SUMIF(FBT!D:D, 'Form A Mapping'!H21,FBT!J:J)</f>
        <v>147635</v>
      </c>
      <c r="T21" s="636">
        <f>SUMIF('P&amp;L 1'!$A$31:$A$43,H21,'P&amp;L 1'!$E$31:$E$43)</f>
        <v>36215.68</v>
      </c>
      <c r="U21" s="523">
        <f t="shared" si="5"/>
        <v>3.6042403262921241E-2</v>
      </c>
      <c r="V21" s="522">
        <f>U21*SUM('P&amp;L 1'!$B$92)</f>
        <v>7418.3238494693678</v>
      </c>
      <c r="W21" s="526">
        <f t="shared" si="6"/>
        <v>43634.003849469365</v>
      </c>
      <c r="X21" s="639">
        <f>SUMIF('P&amp;L 2'!$A$33:$A$61,H21,'P&amp;L 2'!$E$33:$E$61)</f>
        <v>0</v>
      </c>
      <c r="Y21" s="523" t="e">
        <f t="shared" si="7"/>
        <v>#DIV/0!</v>
      </c>
      <c r="Z21" s="640" t="e">
        <f>Y21*SUM('P&amp;L 2'!$E$158)</f>
        <v>#DIV/0!</v>
      </c>
      <c r="AA21" s="526" t="e">
        <f t="shared" si="8"/>
        <v>#DIV/0!</v>
      </c>
      <c r="AB21" s="477">
        <f>SUMIF('FY24'!D:D,'Form A Mapping'!H21,'FY24'!AJ:AJ)</f>
        <v>287837.62</v>
      </c>
      <c r="AC21" s="477">
        <f t="shared" si="1"/>
        <v>194635.78181941083</v>
      </c>
      <c r="AD21" s="477">
        <f>SUMIF('P&amp;L 1'!A:A, 'Form A Mapping'!H21,'P&amp;L 1'!B:B)</f>
        <v>127777.42</v>
      </c>
      <c r="AE21" s="477">
        <f>SUMIF('P&amp;L 2'!A:A, 'Form A Mapping'!H21,'P&amp;L 2'!B:B)</f>
        <v>0</v>
      </c>
      <c r="AF21" s="477">
        <f>SUMIF('FY24'!D:D,'Form A Mapping'!H21,'FY24'!AK:AK)</f>
        <v>131936</v>
      </c>
      <c r="AG21" s="477">
        <f t="shared" si="2"/>
        <v>148956.11751495631</v>
      </c>
      <c r="AH21" s="477">
        <f>IFERROR(SUMIF('P&amp;L SR 1'!A:A,H21, INDEX( 'P&amp;L SR 1'!A:ZZ, 0, MATCH("TOTAL", 'P&amp;L SR 1'!$5:$5, 0))), 0)</f>
        <v>19372.099999999999</v>
      </c>
      <c r="AI21" s="477">
        <f>IFERROR(SUMIF('P&amp;L SR 2'!A:A,H21, INDEX( 'P&amp;L SR 2'!A:ZZ, 0, MATCH("TOTAL", 'P&amp;L SR 2'!$5:$5, 0))), 0)</f>
        <v>0</v>
      </c>
    </row>
    <row r="22" spans="1:35">
      <c r="A22" s="512">
        <v>5100</v>
      </c>
      <c r="B22" s="513">
        <f t="shared" si="0"/>
        <v>5199</v>
      </c>
      <c r="C22" s="513">
        <v>25</v>
      </c>
      <c r="D22" s="518" t="s">
        <v>639</v>
      </c>
      <c r="H22" s="521">
        <v>15</v>
      </c>
      <c r="I22" s="522">
        <f>SUMIF(FBT!$D$35:$D$63, 'Form A Mapping'!H22, FBT!$I$35:$I$63)</f>
        <v>0</v>
      </c>
      <c r="J22" s="523">
        <f t="shared" si="3"/>
        <v>0</v>
      </c>
      <c r="K22" s="522">
        <f>SUMIF(FBT!$D$35:$D$63, 'Form A Mapping'!H22, FBT!$J$35:$J$63)</f>
        <v>0</v>
      </c>
      <c r="L22" s="523">
        <f t="shared" si="4"/>
        <v>0</v>
      </c>
      <c r="M22" s="524"/>
      <c r="N22" s="522">
        <f>J22*SUM(FBT!$I$66:$I$79)</f>
        <v>0</v>
      </c>
      <c r="O22" s="522">
        <f>J22*SUM(FBT!$J$66:$J$79)</f>
        <v>0</v>
      </c>
      <c r="P22" s="525">
        <f t="shared" si="9"/>
        <v>0</v>
      </c>
      <c r="Q22" s="525">
        <f t="shared" si="10"/>
        <v>0</v>
      </c>
      <c r="R22" s="525">
        <f>SUMIF(FBT!D:D, 'Form A Mapping'!H22,FBT!I:I)</f>
        <v>111177</v>
      </c>
      <c r="S22" s="526">
        <f>SUMIF(FBT!D:D, 'Form A Mapping'!H22,FBT!J:J)</f>
        <v>0</v>
      </c>
      <c r="T22" s="636">
        <f>SUMIF('P&amp;L 1'!$A$31:$A$43,H22,'P&amp;L 1'!$E$31:$E$43)</f>
        <v>0</v>
      </c>
      <c r="U22" s="523">
        <f t="shared" si="5"/>
        <v>0</v>
      </c>
      <c r="V22" s="522">
        <f>U22*SUM('P&amp;L 1'!$B$92)</f>
        <v>0</v>
      </c>
      <c r="W22" s="526">
        <f t="shared" si="6"/>
        <v>0</v>
      </c>
      <c r="X22" s="639">
        <f>SUMIF('P&amp;L 2'!$A$33:$A$61,H22,'P&amp;L 2'!$E$33:$E$61)</f>
        <v>0</v>
      </c>
      <c r="Y22" s="523" t="e">
        <f t="shared" si="7"/>
        <v>#DIV/0!</v>
      </c>
      <c r="Z22" s="640" t="e">
        <f>Y22*SUM('P&amp;L 2'!$E$158)</f>
        <v>#DIV/0!</v>
      </c>
      <c r="AA22" s="526" t="e">
        <f t="shared" si="8"/>
        <v>#DIV/0!</v>
      </c>
      <c r="AB22" s="477">
        <f>SUMIF('FY24'!D:D,'Form A Mapping'!H22,'FY24'!AJ:AJ)</f>
        <v>93945.72</v>
      </c>
      <c r="AC22" s="477">
        <f t="shared" si="1"/>
        <v>111177</v>
      </c>
      <c r="AD22" s="477">
        <f>SUMIF('P&amp;L 1'!A:A, 'Form A Mapping'!H22,'P&amp;L 1'!B:B)</f>
        <v>27169.41</v>
      </c>
      <c r="AE22" s="477">
        <f>SUMIF('P&amp;L 2'!A:A, 'Form A Mapping'!H22,'P&amp;L 2'!B:B)</f>
        <v>0</v>
      </c>
      <c r="AF22" s="477">
        <f>SUMIF('FY24'!D:D,'Form A Mapping'!H22,'FY24'!AK:AK)</f>
        <v>0</v>
      </c>
      <c r="AG22" s="477">
        <f t="shared" si="2"/>
        <v>0</v>
      </c>
      <c r="AH22" s="477">
        <f>IFERROR(SUMIF('P&amp;L SR 1'!A:A,H22, INDEX( 'P&amp;L SR 1'!A:ZZ, 0, MATCH("TOTAL", 'P&amp;L SR 1'!$5:$5, 0))), 0)</f>
        <v>0</v>
      </c>
      <c r="AI22" s="477">
        <f>IFERROR(SUMIF('P&amp;L SR 2'!A:A,H22, INDEX( 'P&amp;L SR 2'!A:ZZ, 0, MATCH("TOTAL", 'P&amp;L SR 2'!$5:$5, 0))), 0)</f>
        <v>0</v>
      </c>
    </row>
    <row r="23" spans="1:35">
      <c r="A23" s="512">
        <v>5200</v>
      </c>
      <c r="B23" s="513">
        <f t="shared" si="0"/>
        <v>5299</v>
      </c>
      <c r="C23" s="513">
        <v>26</v>
      </c>
      <c r="D23" s="518" t="s">
        <v>640</v>
      </c>
      <c r="H23" s="521">
        <v>16</v>
      </c>
      <c r="I23" s="522">
        <f>SUMIF(FBT!$D$35:$D$63, 'Form A Mapping'!H23, FBT!$I$35:$I$63)</f>
        <v>340947.04119999998</v>
      </c>
      <c r="J23" s="523">
        <f t="shared" si="3"/>
        <v>0.30489229516589028</v>
      </c>
      <c r="K23" s="522">
        <f>SUMIF(FBT!$D$35:$D$63, 'Form A Mapping'!H23, FBT!$J$35:$J$63)</f>
        <v>281180</v>
      </c>
      <c r="L23" s="523">
        <f t="shared" si="4"/>
        <v>0.22161079633449218</v>
      </c>
      <c r="M23" s="524"/>
      <c r="N23" s="522">
        <f>J23*SUM(FBT!$I$66:$I$79)</f>
        <v>117948.72957556893</v>
      </c>
      <c r="O23" s="522">
        <f>J23*SUM(FBT!$J$66:$J$79)</f>
        <v>28964.768040759576</v>
      </c>
      <c r="P23" s="525">
        <f t="shared" si="9"/>
        <v>458895.7707755689</v>
      </c>
      <c r="Q23" s="525">
        <f t="shared" si="10"/>
        <v>310144.76804075961</v>
      </c>
      <c r="R23" s="525">
        <f>SUMIF(FBT!D:D, 'Form A Mapping'!H23,FBT!I:I)</f>
        <v>612649.5599172028</v>
      </c>
      <c r="S23" s="526">
        <f>SUMIF(FBT!D:D, 'Form A Mapping'!H23,FBT!J:J)</f>
        <v>331180</v>
      </c>
      <c r="T23" s="636">
        <f>SUMIF('P&amp;L 1'!$A$31:$A$43,H23,'P&amp;L 1'!$E$31:$E$43)</f>
        <v>243597.69</v>
      </c>
      <c r="U23" s="523">
        <f t="shared" si="5"/>
        <v>0.24243217791012284</v>
      </c>
      <c r="V23" s="522">
        <f>U23*SUM('P&amp;L 1'!$B$92)</f>
        <v>49897.904813678659</v>
      </c>
      <c r="W23" s="526">
        <f t="shared" si="6"/>
        <v>293495.59481367865</v>
      </c>
      <c r="X23" s="639">
        <f>SUMIF('P&amp;L 2'!$A$33:$A$61,H23,'P&amp;L 2'!$E$33:$E$61)</f>
        <v>0</v>
      </c>
      <c r="Y23" s="523" t="e">
        <f t="shared" si="7"/>
        <v>#DIV/0!</v>
      </c>
      <c r="Z23" s="640" t="e">
        <f>Y23*SUM('P&amp;L 2'!$E$158)</f>
        <v>#DIV/0!</v>
      </c>
      <c r="AA23" s="526" t="e">
        <f t="shared" si="8"/>
        <v>#DIV/0!</v>
      </c>
      <c r="AB23" s="477">
        <f>SUMIF('FY24'!D:D,'Form A Mapping'!H23,'FY24'!AJ:AJ)</f>
        <v>359930.05</v>
      </c>
      <c r="AC23" s="477">
        <f t="shared" si="1"/>
        <v>730598.28949277173</v>
      </c>
      <c r="AD23" s="477">
        <f>SUMIF('P&amp;L 1'!A:A, 'Form A Mapping'!H23,'P&amp;L 1'!B:B)</f>
        <v>332901.61</v>
      </c>
      <c r="AE23" s="477">
        <f>SUMIF('P&amp;L 2'!A:A, 'Form A Mapping'!H23,'P&amp;L 2'!B:B)</f>
        <v>0</v>
      </c>
      <c r="AF23" s="477">
        <f>SUMIF('FY24'!D:D,'Form A Mapping'!H23,'FY24'!AK:AK)</f>
        <v>197651.18</v>
      </c>
      <c r="AG23" s="477">
        <f t="shared" si="2"/>
        <v>360144.76804075961</v>
      </c>
      <c r="AH23" s="477">
        <f>IFERROR(SUMIF('P&amp;L SR 1'!A:A,H23, INDEX( 'P&amp;L SR 1'!A:ZZ, 0, MATCH("TOTAL", 'P&amp;L SR 1'!$5:$5, 0))), 0)</f>
        <v>12758.91</v>
      </c>
      <c r="AI23" s="477">
        <f>IFERROR(SUMIF('P&amp;L SR 2'!A:A,H23, INDEX( 'P&amp;L SR 2'!A:ZZ, 0, MATCH("TOTAL", 'P&amp;L SR 2'!$5:$5, 0))), 0)</f>
        <v>0</v>
      </c>
    </row>
    <row r="24" spans="1:35">
      <c r="H24" s="521">
        <v>17</v>
      </c>
      <c r="I24" s="522">
        <f>SUMIF(FBT!$D$35:$D$63, 'Form A Mapping'!H24, FBT!$I$35:$I$63)</f>
        <v>35000</v>
      </c>
      <c r="J24" s="523">
        <f t="shared" si="3"/>
        <v>3.1298791428861238E-2</v>
      </c>
      <c r="K24" s="522">
        <f>SUMIF(FBT!$D$35:$D$63, 'Form A Mapping'!H24, FBT!$J$35:$J$63)</f>
        <v>0</v>
      </c>
      <c r="L24" s="523">
        <f t="shared" si="4"/>
        <v>0</v>
      </c>
      <c r="M24" s="524"/>
      <c r="N24" s="522">
        <f>J24*SUM(FBT!$I$66:$I$79)</f>
        <v>12108.055024074256</v>
      </c>
      <c r="O24" s="522">
        <f>J24*SUM(FBT!$J$66:$J$79)</f>
        <v>2973.3851857418176</v>
      </c>
      <c r="P24" s="525">
        <f t="shared" si="9"/>
        <v>47108.05502407426</v>
      </c>
      <c r="Q24" s="525">
        <f t="shared" si="10"/>
        <v>2973.3851857418176</v>
      </c>
      <c r="R24" s="525">
        <f>SUMIF(FBT!D:D, 'Form A Mapping'!H24,FBT!I:I)</f>
        <v>131500</v>
      </c>
      <c r="S24" s="526">
        <f>SUMIF(FBT!D:D, 'Form A Mapping'!H24,FBT!J:J)</f>
        <v>0</v>
      </c>
      <c r="T24" s="636">
        <f>SUMIF('P&amp;L 1'!$A$31:$A$43,H24,'P&amp;L 1'!$E$31:$E$43)</f>
        <v>0</v>
      </c>
      <c r="U24" s="523">
        <f t="shared" si="5"/>
        <v>0</v>
      </c>
      <c r="V24" s="522">
        <f>U24*SUM('P&amp;L 1'!$B$92)</f>
        <v>0</v>
      </c>
      <c r="W24" s="526">
        <f t="shared" si="6"/>
        <v>0</v>
      </c>
      <c r="X24" s="639">
        <f>SUMIF('P&amp;L 2'!$A$33:$A$61,H24,'P&amp;L 2'!$E$33:$E$61)</f>
        <v>0</v>
      </c>
      <c r="Y24" s="523" t="e">
        <f t="shared" si="7"/>
        <v>#DIV/0!</v>
      </c>
      <c r="Z24" s="640" t="e">
        <f>Y24*SUM('P&amp;L 2'!$E$158)</f>
        <v>#DIV/0!</v>
      </c>
      <c r="AA24" s="526" t="e">
        <f t="shared" si="8"/>
        <v>#DIV/0!</v>
      </c>
      <c r="AB24" s="477">
        <f>SUMIF('FY24'!D:D,'Form A Mapping'!H24,'FY24'!AJ:AJ)</f>
        <v>11932.22</v>
      </c>
      <c r="AC24" s="477">
        <f t="shared" si="1"/>
        <v>143608.05502407425</v>
      </c>
      <c r="AD24" s="477">
        <f>SUMIF('P&amp;L 1'!A:A, 'Form A Mapping'!H24,'P&amp;L 1'!B:B)</f>
        <v>52404.1</v>
      </c>
      <c r="AE24" s="477">
        <f>SUMIF('P&amp;L 2'!A:A, 'Form A Mapping'!H24,'P&amp;L 2'!B:B)</f>
        <v>0</v>
      </c>
      <c r="AF24" s="477">
        <f>SUMIF('FY24'!D:D,'Form A Mapping'!H24,'FY24'!AK:AK)</f>
        <v>73368.75</v>
      </c>
      <c r="AG24" s="477">
        <f t="shared" si="2"/>
        <v>2973.3851857418176</v>
      </c>
      <c r="AH24" s="477">
        <f>IFERROR(SUMIF('P&amp;L SR 1'!A:A,H24, INDEX( 'P&amp;L SR 1'!A:ZZ, 0, MATCH("TOTAL", 'P&amp;L SR 1'!$5:$5, 0))), 0)</f>
        <v>0</v>
      </c>
      <c r="AI24" s="477">
        <f>IFERROR(SUMIF('P&amp;L SR 2'!A:A,H24, INDEX( 'P&amp;L SR 2'!A:ZZ, 0, MATCH("TOTAL", 'P&amp;L SR 2'!$5:$5, 0))), 0)</f>
        <v>0</v>
      </c>
    </row>
    <row r="25" spans="1:35">
      <c r="H25" s="521">
        <v>18</v>
      </c>
      <c r="I25" s="522">
        <f>SUMIF(FBT!$D$35:$D$63, 'Form A Mapping'!H25, FBT!$I$35:$I$63)</f>
        <v>0</v>
      </c>
      <c r="J25" s="523">
        <f t="shared" si="3"/>
        <v>0</v>
      </c>
      <c r="K25" s="522">
        <f>SUMIF(FBT!$D$35:$D$63, 'Form A Mapping'!H25, FBT!$J$35:$J$63)</f>
        <v>0</v>
      </c>
      <c r="L25" s="523">
        <f t="shared" si="4"/>
        <v>0</v>
      </c>
      <c r="M25" s="524"/>
      <c r="N25" s="522">
        <f>J25*SUM(FBT!$I$66:$I$79)</f>
        <v>0</v>
      </c>
      <c r="O25" s="522">
        <f>J25*SUM(FBT!$J$66:$J$79)</f>
        <v>0</v>
      </c>
      <c r="P25" s="525">
        <f t="shared" si="9"/>
        <v>0</v>
      </c>
      <c r="Q25" s="525">
        <f t="shared" si="10"/>
        <v>0</v>
      </c>
      <c r="R25" s="525">
        <f>SUMIF(FBT!D:D, 'Form A Mapping'!H25,FBT!I:I)</f>
        <v>337750</v>
      </c>
      <c r="S25" s="526">
        <f>SUMIF(FBT!D:D, 'Form A Mapping'!H25,FBT!J:J)</f>
        <v>0</v>
      </c>
      <c r="T25" s="636">
        <f>SUMIF('P&amp;L 1'!$A$31:$A$43,H25,'P&amp;L 1'!$E$31:$E$43)</f>
        <v>39657.230000000003</v>
      </c>
      <c r="U25" s="523">
        <f t="shared" si="5"/>
        <v>3.9467486899332507E-2</v>
      </c>
      <c r="V25" s="522">
        <f>U25*SUM('P&amp;L 1'!$B$92)</f>
        <v>8123.2818246928446</v>
      </c>
      <c r="W25" s="526">
        <f t="shared" si="6"/>
        <v>47780.511824692847</v>
      </c>
      <c r="X25" s="639">
        <f>SUMIF('P&amp;L 2'!$A$33:$A$61,H25,'P&amp;L 2'!$E$33:$E$61)</f>
        <v>0</v>
      </c>
      <c r="Y25" s="523" t="e">
        <f t="shared" si="7"/>
        <v>#DIV/0!</v>
      </c>
      <c r="Z25" s="640" t="e">
        <f>Y25*SUM('P&amp;L 2'!$E$158)</f>
        <v>#DIV/0!</v>
      </c>
      <c r="AA25" s="526" t="e">
        <f t="shared" si="8"/>
        <v>#DIV/0!</v>
      </c>
      <c r="AB25" s="477">
        <f>SUMIF('FY24'!D:D,'Form A Mapping'!H25,'FY24'!AJ:AJ)</f>
        <v>243923.02</v>
      </c>
      <c r="AC25" s="477">
        <f t="shared" si="1"/>
        <v>337750</v>
      </c>
      <c r="AD25" s="477">
        <f>SUMIF('P&amp;L 1'!A:A, 'Form A Mapping'!H25,'P&amp;L 1'!B:B)</f>
        <v>198276.36000000002</v>
      </c>
      <c r="AE25" s="477">
        <f>SUMIF('P&amp;L 2'!A:A, 'Form A Mapping'!H25,'P&amp;L 2'!B:B)</f>
        <v>0</v>
      </c>
      <c r="AF25" s="477">
        <f>SUMIF('FY24'!D:D,'Form A Mapping'!H25,'FY24'!AK:AK)</f>
        <v>92526.11</v>
      </c>
      <c r="AG25" s="477">
        <f t="shared" si="2"/>
        <v>0</v>
      </c>
      <c r="AH25" s="477">
        <f>IFERROR(SUMIF('P&amp;L SR 1'!A:A,H25, INDEX( 'P&amp;L SR 1'!A:ZZ, 0, MATCH("TOTAL", 'P&amp;L SR 1'!$5:$5, 0))), 0)</f>
        <v>0</v>
      </c>
      <c r="AI25" s="477">
        <f>IFERROR(SUMIF('P&amp;L SR 2'!A:A,H25, INDEX( 'P&amp;L SR 2'!A:ZZ, 0, MATCH("TOTAL", 'P&amp;L SR 2'!$5:$5, 0))), 0)</f>
        <v>0</v>
      </c>
    </row>
    <row r="26" spans="1:35">
      <c r="H26" s="521">
        <v>19</v>
      </c>
      <c r="I26" s="522">
        <f>SUMIF(FBT!$D$35:$D$63, 'Form A Mapping'!H26, FBT!$I$35:$I$63)</f>
        <v>0</v>
      </c>
      <c r="J26" s="523">
        <f t="shared" si="3"/>
        <v>0</v>
      </c>
      <c r="K26" s="522">
        <f>SUMIF(FBT!$D$35:$D$63, 'Form A Mapping'!H26, FBT!$J$35:$J$63)</f>
        <v>0</v>
      </c>
      <c r="L26" s="523">
        <f t="shared" si="4"/>
        <v>0</v>
      </c>
      <c r="M26" s="524"/>
      <c r="N26" s="522">
        <f>J26*SUM(FBT!$I$66:$I$79)</f>
        <v>0</v>
      </c>
      <c r="O26" s="522">
        <f>J26*SUM(FBT!$J$66:$J$79)</f>
        <v>0</v>
      </c>
      <c r="P26" s="525">
        <f t="shared" si="9"/>
        <v>0</v>
      </c>
      <c r="Q26" s="525">
        <f t="shared" si="10"/>
        <v>0</v>
      </c>
      <c r="R26" s="525">
        <f>SUMIF(FBT!D:D, 'Form A Mapping'!H26,FBT!I:I)</f>
        <v>301360</v>
      </c>
      <c r="S26" s="526">
        <f>SUMIF(FBT!D:D, 'Form A Mapping'!H26,FBT!J:J)</f>
        <v>50000</v>
      </c>
      <c r="T26" s="636">
        <f>SUMIF('P&amp;L 1'!$A$31:$A$43,H26,'P&amp;L 1'!$E$31:$E$43)</f>
        <v>0</v>
      </c>
      <c r="U26" s="523">
        <f t="shared" si="5"/>
        <v>0</v>
      </c>
      <c r="V26" s="522">
        <f>U26*SUM('P&amp;L 1'!$B$92)</f>
        <v>0</v>
      </c>
      <c r="W26" s="526">
        <f t="shared" si="6"/>
        <v>0</v>
      </c>
      <c r="X26" s="639">
        <f>SUMIF('P&amp;L 2'!$A$33:$A$61,H26,'P&amp;L 2'!$E$33:$E$61)</f>
        <v>0</v>
      </c>
      <c r="Y26" s="523" t="e">
        <f t="shared" si="7"/>
        <v>#DIV/0!</v>
      </c>
      <c r="Z26" s="640" t="e">
        <f>Y26*SUM('P&amp;L 2'!$E$158)</f>
        <v>#DIV/0!</v>
      </c>
      <c r="AA26" s="526" t="e">
        <f t="shared" si="8"/>
        <v>#DIV/0!</v>
      </c>
      <c r="AB26" s="477">
        <f>SUMIF('FY24'!D:D,'Form A Mapping'!H26,'FY24'!AJ:AJ)</f>
        <v>73078.770000000019</v>
      </c>
      <c r="AC26" s="477">
        <f t="shared" si="1"/>
        <v>301360</v>
      </c>
      <c r="AD26" s="477">
        <f>SUMIF('P&amp;L 1'!A:A, 'Form A Mapping'!H26,'P&amp;L 1'!B:B)</f>
        <v>82095.86</v>
      </c>
      <c r="AE26" s="477">
        <f>SUMIF('P&amp;L 2'!A:A, 'Form A Mapping'!H26,'P&amp;L 2'!B:B)</f>
        <v>0</v>
      </c>
      <c r="AF26" s="477">
        <f>SUMIF('FY24'!D:D,'Form A Mapping'!H26,'FY24'!AK:AK)</f>
        <v>199776.82</v>
      </c>
      <c r="AG26" s="477">
        <f t="shared" si="2"/>
        <v>50000</v>
      </c>
      <c r="AH26" s="477">
        <f>IFERROR(SUMIF('P&amp;L SR 1'!A:A,H26, INDEX( 'P&amp;L SR 1'!A:ZZ, 0, MATCH("TOTAL", 'P&amp;L SR 1'!$5:$5, 0))), 0)</f>
        <v>0</v>
      </c>
      <c r="AI26" s="477">
        <f>IFERROR(SUMIF('P&amp;L SR 2'!A:A,H26, INDEX( 'P&amp;L SR 2'!A:ZZ, 0, MATCH("TOTAL", 'P&amp;L SR 2'!$5:$5, 0))), 0)</f>
        <v>0</v>
      </c>
    </row>
    <row r="27" spans="1:35">
      <c r="H27" s="521">
        <v>20</v>
      </c>
      <c r="I27" s="522">
        <f>SUMIF(FBT!$D$35:$D$63, 'Form A Mapping'!H27, FBT!$I$35:$I$63)</f>
        <v>0</v>
      </c>
      <c r="J27" s="523">
        <f t="shared" si="3"/>
        <v>0</v>
      </c>
      <c r="K27" s="522">
        <f>SUMIF(FBT!$D$35:$D$63, 'Form A Mapping'!H27, FBT!$J$35:$J$63)</f>
        <v>0</v>
      </c>
      <c r="L27" s="523">
        <f t="shared" si="4"/>
        <v>0</v>
      </c>
      <c r="M27" s="524"/>
      <c r="N27" s="522">
        <f>J27*SUM(FBT!$I$66:$I$79)</f>
        <v>0</v>
      </c>
      <c r="O27" s="522">
        <f>J27*SUM(FBT!$J$66:$J$79)</f>
        <v>0</v>
      </c>
      <c r="P27" s="525">
        <f t="shared" si="9"/>
        <v>0</v>
      </c>
      <c r="Q27" s="525">
        <f t="shared" si="10"/>
        <v>0</v>
      </c>
      <c r="R27" s="525">
        <f>SUMIF(FBT!D:D, 'Form A Mapping'!H27,FBT!I:I)</f>
        <v>74750</v>
      </c>
      <c r="S27" s="526">
        <f>SUMIF(FBT!D:D, 'Form A Mapping'!H27,FBT!J:J)</f>
        <v>100000</v>
      </c>
      <c r="T27" s="636">
        <f>SUMIF('P&amp;L 1'!$A$31:$A$43,H27,'P&amp;L 1'!$E$31:$E$43)</f>
        <v>0</v>
      </c>
      <c r="U27" s="523">
        <f t="shared" si="5"/>
        <v>0</v>
      </c>
      <c r="V27" s="522">
        <f>U27*SUM('P&amp;L 1'!$B$92)</f>
        <v>0</v>
      </c>
      <c r="W27" s="526">
        <f t="shared" si="6"/>
        <v>0</v>
      </c>
      <c r="X27" s="639">
        <f>SUMIF('P&amp;L 2'!$A$33:$A$61,H27,'P&amp;L 2'!$E$33:$E$61)</f>
        <v>0</v>
      </c>
      <c r="Y27" s="523" t="e">
        <f t="shared" si="7"/>
        <v>#DIV/0!</v>
      </c>
      <c r="Z27" s="640" t="e">
        <f>Y27*SUM('P&amp;L 2'!$E$158)</f>
        <v>#DIV/0!</v>
      </c>
      <c r="AA27" s="526" t="e">
        <f t="shared" si="8"/>
        <v>#DIV/0!</v>
      </c>
      <c r="AB27" s="477">
        <f>SUMIF('FY24'!D:D,'Form A Mapping'!H27,'FY24'!AJ:AJ)</f>
        <v>60286.649999999994</v>
      </c>
      <c r="AC27" s="477">
        <f t="shared" si="1"/>
        <v>74750</v>
      </c>
      <c r="AD27" s="477">
        <f>SUMIF('P&amp;L 1'!A:A, 'Form A Mapping'!H27,'P&amp;L 1'!B:B)</f>
        <v>122961.42000000001</v>
      </c>
      <c r="AE27" s="477">
        <f>SUMIF('P&amp;L 2'!A:A, 'Form A Mapping'!H27,'P&amp;L 2'!B:B)</f>
        <v>0</v>
      </c>
      <c r="AF27" s="477">
        <f>SUMIF('FY24'!D:D,'Form A Mapping'!H27,'FY24'!AK:AK)</f>
        <v>136417.43</v>
      </c>
      <c r="AG27" s="477">
        <f t="shared" si="2"/>
        <v>100000</v>
      </c>
      <c r="AH27" s="477">
        <f>IFERROR(SUMIF('P&amp;L SR 1'!A:A,H27, INDEX( 'P&amp;L SR 1'!A:ZZ, 0, MATCH("TOTAL", 'P&amp;L SR 1'!$5:$5, 0))), 0)</f>
        <v>0</v>
      </c>
      <c r="AI27" s="477">
        <f>IFERROR(SUMIF('P&amp;L SR 2'!A:A,H27, INDEX( 'P&amp;L SR 2'!A:ZZ, 0, MATCH("TOTAL", 'P&amp;L SR 2'!$5:$5, 0))), 0)</f>
        <v>0</v>
      </c>
    </row>
    <row r="28" spans="1:35">
      <c r="H28" s="521">
        <v>21</v>
      </c>
      <c r="I28" s="522">
        <f>SUMIF(FBT!$D$35:$D$63, 'Form A Mapping'!H28, FBT!$I$35:$I$63)</f>
        <v>0</v>
      </c>
      <c r="J28" s="523">
        <f t="shared" si="3"/>
        <v>0</v>
      </c>
      <c r="K28" s="522">
        <f>SUMIF(FBT!$D$35:$D$63, 'Form A Mapping'!H28, FBT!$J$35:$J$63)</f>
        <v>0</v>
      </c>
      <c r="L28" s="523">
        <f t="shared" si="4"/>
        <v>0</v>
      </c>
      <c r="M28" s="524"/>
      <c r="N28" s="522">
        <f>J28*SUM(FBT!$I$66:$I$79)</f>
        <v>0</v>
      </c>
      <c r="O28" s="522">
        <f>J28*SUM(FBT!$J$66:$J$79)</f>
        <v>0</v>
      </c>
      <c r="P28" s="525">
        <f t="shared" si="9"/>
        <v>0</v>
      </c>
      <c r="Q28" s="525">
        <f t="shared" si="10"/>
        <v>0</v>
      </c>
      <c r="R28" s="525">
        <f>SUMIF(FBT!D:D, 'Form A Mapping'!H28,FBT!I:I)</f>
        <v>267500</v>
      </c>
      <c r="S28" s="526">
        <f>SUMIF(FBT!D:D, 'Form A Mapping'!H28,FBT!J:J)</f>
        <v>0</v>
      </c>
      <c r="T28" s="636">
        <f>SUMIF('P&amp;L 1'!$A$31:$A$43,H28,'P&amp;L 1'!$E$31:$E$43)</f>
        <v>0</v>
      </c>
      <c r="U28" s="523">
        <f t="shared" si="5"/>
        <v>0</v>
      </c>
      <c r="V28" s="522">
        <f>U28*SUM('P&amp;L 1'!$B$92)</f>
        <v>0</v>
      </c>
      <c r="W28" s="526">
        <f t="shared" si="6"/>
        <v>0</v>
      </c>
      <c r="X28" s="639">
        <f>SUMIF('P&amp;L 2'!$A$33:$A$61,H28,'P&amp;L 2'!$E$33:$E$61)</f>
        <v>0</v>
      </c>
      <c r="Y28" s="523" t="e">
        <f t="shared" si="7"/>
        <v>#DIV/0!</v>
      </c>
      <c r="Z28" s="640" t="e">
        <f>Y28*SUM('P&amp;L 2'!$E$158)</f>
        <v>#DIV/0!</v>
      </c>
      <c r="AA28" s="526" t="e">
        <f t="shared" si="8"/>
        <v>#DIV/0!</v>
      </c>
      <c r="AB28" s="477">
        <f>SUMIF('FY24'!D:D,'Form A Mapping'!H28,'FY24'!AJ:AJ)</f>
        <v>0</v>
      </c>
      <c r="AC28" s="477">
        <f t="shared" si="1"/>
        <v>267500</v>
      </c>
      <c r="AD28" s="477">
        <f>SUMIF('P&amp;L 1'!A:A, 'Form A Mapping'!H28,'P&amp;L 1'!B:B)</f>
        <v>1136.04</v>
      </c>
      <c r="AE28" s="477">
        <f>SUMIF('P&amp;L 2'!A:A, 'Form A Mapping'!H28,'P&amp;L 2'!B:B)</f>
        <v>0</v>
      </c>
      <c r="AF28" s="477">
        <f>SUMIF('FY24'!D:D,'Form A Mapping'!H28,'FY24'!AK:AK)</f>
        <v>151717.74</v>
      </c>
      <c r="AG28" s="477">
        <f t="shared" si="2"/>
        <v>0</v>
      </c>
      <c r="AH28" s="477">
        <f>IFERROR(SUMIF('P&amp;L SR 1'!A:A,H28, INDEX( 'P&amp;L SR 1'!A:ZZ, 0, MATCH("TOTAL", 'P&amp;L SR 1'!$5:$5, 0))), 0)</f>
        <v>64348.119999999995</v>
      </c>
      <c r="AI28" s="477">
        <f>IFERROR(SUMIF('P&amp;L SR 2'!A:A,H28, INDEX( 'P&amp;L SR 2'!A:ZZ, 0, MATCH("TOTAL", 'P&amp;L SR 2'!$5:$5, 0))), 0)</f>
        <v>0</v>
      </c>
    </row>
    <row r="29" spans="1:35">
      <c r="H29" s="521">
        <v>22</v>
      </c>
      <c r="I29" s="522">
        <f>SUMIF(FBT!$D$35:$D$63, 'Form A Mapping'!H29, FBT!$I$35:$I$63)</f>
        <v>0</v>
      </c>
      <c r="J29" s="523">
        <f t="shared" si="3"/>
        <v>0</v>
      </c>
      <c r="K29" s="522">
        <f>SUMIF(FBT!$D$35:$D$63, 'Form A Mapping'!H29, FBT!$J$35:$J$63)</f>
        <v>0</v>
      </c>
      <c r="L29" s="523">
        <f t="shared" si="4"/>
        <v>0</v>
      </c>
      <c r="M29" s="524"/>
      <c r="N29" s="522">
        <f>J29*SUM(FBT!$I$66:$I$79)</f>
        <v>0</v>
      </c>
      <c r="O29" s="522">
        <f>J29*SUM(FBT!$J$66:$J$79)</f>
        <v>0</v>
      </c>
      <c r="P29" s="525">
        <f t="shared" si="9"/>
        <v>0</v>
      </c>
      <c r="Q29" s="525">
        <f t="shared" si="10"/>
        <v>0</v>
      </c>
      <c r="R29" s="525">
        <f>SUMIF(FBT!D:D, 'Form A Mapping'!H29,FBT!I:I)</f>
        <v>0</v>
      </c>
      <c r="S29" s="526">
        <f>SUMIF(FBT!D:D, 'Form A Mapping'!H29,FBT!J:J)</f>
        <v>0</v>
      </c>
      <c r="T29" s="636">
        <f>SUMIF('P&amp;L 1'!$A$31:$A$43,H29,'P&amp;L 1'!$E$31:$E$43)</f>
        <v>0</v>
      </c>
      <c r="U29" s="523">
        <f t="shared" si="5"/>
        <v>0</v>
      </c>
      <c r="V29" s="522">
        <f>U29*SUM('P&amp;L 1'!$B$92)</f>
        <v>0</v>
      </c>
      <c r="W29" s="526">
        <f t="shared" si="6"/>
        <v>0</v>
      </c>
      <c r="X29" s="639">
        <f>SUMIF('P&amp;L 2'!$A$33:$A$61,H29,'P&amp;L 2'!$E$33:$E$61)</f>
        <v>0</v>
      </c>
      <c r="Y29" s="523" t="e">
        <f t="shared" si="7"/>
        <v>#DIV/0!</v>
      </c>
      <c r="Z29" s="640" t="e">
        <f>Y29*SUM('P&amp;L 2'!$E$158)</f>
        <v>#DIV/0!</v>
      </c>
      <c r="AA29" s="526" t="e">
        <f t="shared" si="8"/>
        <v>#DIV/0!</v>
      </c>
      <c r="AB29" s="477">
        <f>SUMIF('FY24'!D:D,'Form A Mapping'!H29,'FY24'!AJ:AJ)</f>
        <v>0</v>
      </c>
      <c r="AC29" s="477">
        <f t="shared" si="1"/>
        <v>0</v>
      </c>
      <c r="AD29" s="477">
        <f>SUMIF('P&amp;L 1'!A:A, 'Form A Mapping'!H29,'P&amp;L 1'!B:B)</f>
        <v>0</v>
      </c>
      <c r="AE29" s="477">
        <f>SUMIF('P&amp;L 2'!A:A, 'Form A Mapping'!H29,'P&amp;L 2'!B:B)</f>
        <v>0</v>
      </c>
      <c r="AF29" s="477">
        <f>SUMIF('FY24'!D:D,'Form A Mapping'!H29,'FY24'!AK:AK)</f>
        <v>0</v>
      </c>
      <c r="AG29" s="477">
        <f t="shared" si="2"/>
        <v>0</v>
      </c>
      <c r="AH29" s="477">
        <f>IFERROR(SUMIF('P&amp;L SR 1'!A:A,H29, INDEX( 'P&amp;L SR 1'!A:ZZ, 0, MATCH("TOTAL", 'P&amp;L SR 1'!$5:$5, 0))), 0)</f>
        <v>0</v>
      </c>
      <c r="AI29" s="477">
        <f>IFERROR(SUMIF('P&amp;L SR 2'!A:A,H29, INDEX( 'P&amp;L SR 2'!A:ZZ, 0, MATCH("TOTAL", 'P&amp;L SR 2'!$5:$5, 0))), 0)</f>
        <v>0</v>
      </c>
    </row>
    <row r="30" spans="1:35">
      <c r="H30" s="521">
        <v>23</v>
      </c>
      <c r="I30" s="522">
        <f>SUMIF(FBT!$D$35:$D$63, 'Form A Mapping'!H30, FBT!$I$35:$I$63)</f>
        <v>0</v>
      </c>
      <c r="J30" s="523">
        <f t="shared" si="3"/>
        <v>0</v>
      </c>
      <c r="K30" s="522">
        <f>SUMIF(FBT!$D$35:$D$63, 'Form A Mapping'!H30, FBT!$J$35:$J$63)</f>
        <v>0</v>
      </c>
      <c r="L30" s="523">
        <f t="shared" si="4"/>
        <v>0</v>
      </c>
      <c r="M30" s="524"/>
      <c r="N30" s="522">
        <f>J30*SUM(FBT!$I$66:$I$79)</f>
        <v>0</v>
      </c>
      <c r="O30" s="522">
        <f>J30*SUM(FBT!$J$66:$J$79)</f>
        <v>0</v>
      </c>
      <c r="P30" s="525">
        <f t="shared" si="9"/>
        <v>0</v>
      </c>
      <c r="Q30" s="525">
        <f t="shared" si="10"/>
        <v>0</v>
      </c>
      <c r="R30" s="525">
        <f>SUMIF(FBT!D:D, 'Form A Mapping'!H30,FBT!I:I)</f>
        <v>0</v>
      </c>
      <c r="S30" s="526">
        <f>SUMIF(FBT!D:D, 'Form A Mapping'!H30,FBT!J:J)</f>
        <v>0</v>
      </c>
      <c r="T30" s="636">
        <f>SUMIF('P&amp;L 1'!$A$31:$A$43,H30,'P&amp;L 1'!$E$31:$E$43)</f>
        <v>0</v>
      </c>
      <c r="U30" s="523">
        <f t="shared" si="5"/>
        <v>0</v>
      </c>
      <c r="V30" s="522">
        <f>U30*SUM('P&amp;L 1'!$B$92)</f>
        <v>0</v>
      </c>
      <c r="W30" s="526">
        <f t="shared" si="6"/>
        <v>0</v>
      </c>
      <c r="X30" s="639">
        <f>SUMIF('P&amp;L 2'!$A$33:$A$61,H30,'P&amp;L 2'!$E$33:$E$61)</f>
        <v>0</v>
      </c>
      <c r="Y30" s="523" t="e">
        <f t="shared" si="7"/>
        <v>#DIV/0!</v>
      </c>
      <c r="Z30" s="640" t="e">
        <f>Y30*SUM('P&amp;L 2'!$E$158)</f>
        <v>#DIV/0!</v>
      </c>
      <c r="AA30" s="526" t="e">
        <f t="shared" si="8"/>
        <v>#DIV/0!</v>
      </c>
      <c r="AB30" s="477">
        <f>SUMIF('FY24'!D:D,'Form A Mapping'!H30,'FY24'!AJ:AJ)</f>
        <v>0</v>
      </c>
      <c r="AC30" s="477">
        <f t="shared" si="1"/>
        <v>0</v>
      </c>
      <c r="AD30" s="477">
        <f>SUMIF('P&amp;L 1'!A:A, 'Form A Mapping'!H30,'P&amp;L 1'!B:B)</f>
        <v>0</v>
      </c>
      <c r="AE30" s="477">
        <f>SUMIF('P&amp;L 2'!A:A, 'Form A Mapping'!H30,'P&amp;L 2'!B:B)</f>
        <v>0</v>
      </c>
      <c r="AF30" s="477">
        <f>SUMIF('FY24'!D:D,'Form A Mapping'!H30,'FY24'!AK:AK)</f>
        <v>0</v>
      </c>
      <c r="AG30" s="477">
        <f t="shared" si="2"/>
        <v>0</v>
      </c>
      <c r="AH30" s="477">
        <f>IFERROR(SUMIF('P&amp;L SR 1'!A:A,H30, INDEX( 'P&amp;L SR 1'!A:ZZ, 0, MATCH("TOTAL", 'P&amp;L SR 1'!$5:$5, 0))), 0)</f>
        <v>0</v>
      </c>
      <c r="AI30" s="477">
        <f>IFERROR(SUMIF('P&amp;L SR 2'!A:A,H30, INDEX( 'P&amp;L SR 2'!A:ZZ, 0, MATCH("TOTAL", 'P&amp;L SR 2'!$5:$5, 0))), 0)</f>
        <v>0</v>
      </c>
    </row>
    <row r="31" spans="1:35">
      <c r="H31" s="521">
        <v>24</v>
      </c>
      <c r="I31" s="522">
        <f>SUMIF(FBT!$D$35:$D$63, 'Form A Mapping'!H31, FBT!$I$35:$I$63)</f>
        <v>0</v>
      </c>
      <c r="J31" s="523">
        <f t="shared" si="3"/>
        <v>0</v>
      </c>
      <c r="K31" s="522">
        <f>SUMIF(FBT!$D$35:$D$63, 'Form A Mapping'!H31, FBT!$J$35:$J$63)</f>
        <v>0</v>
      </c>
      <c r="L31" s="523">
        <f t="shared" si="4"/>
        <v>0</v>
      </c>
      <c r="M31" s="524"/>
      <c r="N31" s="522">
        <f>J31*SUM(FBT!$I$66:$I$79)</f>
        <v>0</v>
      </c>
      <c r="O31" s="522">
        <f>J31*SUM(FBT!$J$66:$J$79)</f>
        <v>0</v>
      </c>
      <c r="P31" s="525">
        <f t="shared" si="9"/>
        <v>0</v>
      </c>
      <c r="Q31" s="525">
        <f t="shared" si="10"/>
        <v>0</v>
      </c>
      <c r="R31" s="525">
        <f>SUMIF(FBT!D:D, 'Form A Mapping'!H31,FBT!I:I)</f>
        <v>0</v>
      </c>
      <c r="S31" s="526">
        <f>SUMIF(FBT!D:D, 'Form A Mapping'!H31,FBT!J:J)</f>
        <v>0</v>
      </c>
      <c r="T31" s="636">
        <f>SUMIF('P&amp;L 1'!$A$31:$A$43,H31,'P&amp;L 1'!$E$31:$E$43)</f>
        <v>0</v>
      </c>
      <c r="U31" s="523">
        <f t="shared" si="5"/>
        <v>0</v>
      </c>
      <c r="V31" s="522">
        <f>U31*SUM('P&amp;L 1'!$B$92)</f>
        <v>0</v>
      </c>
      <c r="W31" s="526">
        <f t="shared" si="6"/>
        <v>0</v>
      </c>
      <c r="X31" s="639">
        <f>SUMIF('P&amp;L 2'!$A$33:$A$61,H31,'P&amp;L 2'!$E$33:$E$61)</f>
        <v>0</v>
      </c>
      <c r="Y31" s="523" t="e">
        <f t="shared" si="7"/>
        <v>#DIV/0!</v>
      </c>
      <c r="Z31" s="640" t="e">
        <f>Y31*SUM('P&amp;L 2'!$E$158)</f>
        <v>#DIV/0!</v>
      </c>
      <c r="AA31" s="526" t="e">
        <f t="shared" si="8"/>
        <v>#DIV/0!</v>
      </c>
      <c r="AB31" s="477">
        <f>SUMIF('FY24'!D:D,'Form A Mapping'!H31,'FY24'!AJ:AJ)</f>
        <v>0</v>
      </c>
      <c r="AC31" s="477">
        <f t="shared" si="1"/>
        <v>0</v>
      </c>
      <c r="AD31" s="477">
        <f>SUMIF('P&amp;L 1'!A:A, 'Form A Mapping'!H31,'P&amp;L 1'!B:B)</f>
        <v>0</v>
      </c>
      <c r="AE31" s="477">
        <f>SUMIF('P&amp;L 2'!A:A, 'Form A Mapping'!H31,'P&amp;L 2'!B:B)</f>
        <v>0</v>
      </c>
      <c r="AF31" s="477">
        <f>SUMIF('FY24'!D:D,'Form A Mapping'!H31,'FY24'!AK:AK)</f>
        <v>0</v>
      </c>
      <c r="AG31" s="477">
        <f t="shared" si="2"/>
        <v>0</v>
      </c>
      <c r="AH31" s="477">
        <f>IFERROR(SUMIF('P&amp;L SR 1'!A:A,H31, INDEX( 'P&amp;L SR 1'!A:ZZ, 0, MATCH("TOTAL", 'P&amp;L SR 1'!$5:$5, 0))), 0)</f>
        <v>0</v>
      </c>
      <c r="AI31" s="477">
        <f>IFERROR(SUMIF('P&amp;L SR 2'!A:A,H31, INDEX( 'P&amp;L SR 2'!A:ZZ, 0, MATCH("TOTAL", 'P&amp;L SR 2'!$5:$5, 0))), 0)</f>
        <v>0</v>
      </c>
    </row>
    <row r="32" spans="1:35">
      <c r="H32" s="521">
        <v>25</v>
      </c>
      <c r="I32" s="522">
        <f>SUMIF(FBT!$D$35:$D$63, 'Form A Mapping'!H32, FBT!$I$35:$I$63)</f>
        <v>0</v>
      </c>
      <c r="J32" s="523">
        <f t="shared" si="3"/>
        <v>0</v>
      </c>
      <c r="K32" s="522">
        <f>SUMIF(FBT!$D$35:$D$63, 'Form A Mapping'!H32, FBT!$J$35:$J$63)</f>
        <v>0</v>
      </c>
      <c r="L32" s="523">
        <f t="shared" si="4"/>
        <v>0</v>
      </c>
      <c r="M32" s="524"/>
      <c r="N32" s="522">
        <f>J32*SUM(FBT!$I$66:$I$79)</f>
        <v>0</v>
      </c>
      <c r="O32" s="522">
        <f>J32*SUM(FBT!$J$66:$J$79)</f>
        <v>0</v>
      </c>
      <c r="P32" s="525">
        <f t="shared" si="9"/>
        <v>0</v>
      </c>
      <c r="Q32" s="525">
        <f t="shared" si="10"/>
        <v>0</v>
      </c>
      <c r="R32" s="525">
        <f>SUMIF(FBT!D:D, 'Form A Mapping'!H32,FBT!I:I)</f>
        <v>0</v>
      </c>
      <c r="S32" s="526">
        <f>SUMIF(FBT!D:D, 'Form A Mapping'!H32,FBT!J:J)</f>
        <v>0</v>
      </c>
      <c r="T32" s="636">
        <f>SUMIF('P&amp;L 1'!$A$31:$A$43,H32,'P&amp;L 1'!$E$31:$E$43)</f>
        <v>0</v>
      </c>
      <c r="U32" s="523">
        <f t="shared" si="5"/>
        <v>0</v>
      </c>
      <c r="V32" s="522">
        <f>U32*SUM('P&amp;L 1'!$B$92)</f>
        <v>0</v>
      </c>
      <c r="W32" s="526">
        <f t="shared" si="6"/>
        <v>0</v>
      </c>
      <c r="X32" s="639">
        <f>SUMIF('P&amp;L 2'!$A$33:$A$61,H32,'P&amp;L 2'!$E$33:$E$61)</f>
        <v>0</v>
      </c>
      <c r="Y32" s="523" t="e">
        <f t="shared" si="7"/>
        <v>#DIV/0!</v>
      </c>
      <c r="Z32" s="640" t="e">
        <f>Y32*SUM('P&amp;L 2'!$E$158)</f>
        <v>#DIV/0!</v>
      </c>
      <c r="AA32" s="526" t="e">
        <f t="shared" si="8"/>
        <v>#DIV/0!</v>
      </c>
      <c r="AB32" s="477">
        <f>SUMIF('FY24'!D:D,'Form A Mapping'!H32,'FY24'!AJ:AJ)</f>
        <v>0</v>
      </c>
      <c r="AC32" s="477">
        <f t="shared" si="1"/>
        <v>0</v>
      </c>
      <c r="AD32" s="477">
        <f>SUMIF('P&amp;L 1'!A:A, 'Form A Mapping'!H32,'P&amp;L 1'!B:B)</f>
        <v>0</v>
      </c>
      <c r="AE32" s="477">
        <f>SUMIF('P&amp;L 2'!A:A, 'Form A Mapping'!H32,'P&amp;L 2'!B:B)</f>
        <v>0</v>
      </c>
      <c r="AF32" s="477">
        <f>SUMIF('FY24'!D:D,'Form A Mapping'!H32,'FY24'!AK:AK)</f>
        <v>0</v>
      </c>
      <c r="AG32" s="477">
        <f t="shared" si="2"/>
        <v>0</v>
      </c>
      <c r="AH32" s="477">
        <f>IFERROR(SUMIF('P&amp;L SR 1'!A:A,H32, INDEX( 'P&amp;L SR 1'!A:ZZ, 0, MATCH("TOTAL", 'P&amp;L SR 1'!$5:$5, 0))), 0)</f>
        <v>0</v>
      </c>
      <c r="AI32" s="477">
        <f>IFERROR(SUMIF('P&amp;L SR 2'!A:A,H32, INDEX( 'P&amp;L SR 2'!A:ZZ, 0, MATCH("TOTAL", 'P&amp;L SR 2'!$5:$5, 0))), 0)</f>
        <v>0</v>
      </c>
    </row>
    <row r="33" spans="8:35">
      <c r="H33" s="521">
        <v>26</v>
      </c>
      <c r="I33" s="522">
        <f>SUMIF(FBT!$D$35:$D$63, 'Form A Mapping'!H33, FBT!$I$35:$I$63)</f>
        <v>0</v>
      </c>
      <c r="J33" s="523">
        <f t="shared" si="3"/>
        <v>0</v>
      </c>
      <c r="K33" s="522">
        <f>SUMIF(FBT!$D$35:$D$63, 'Form A Mapping'!H33, FBT!$J$35:$J$63)</f>
        <v>0</v>
      </c>
      <c r="L33" s="523">
        <f t="shared" si="4"/>
        <v>0</v>
      </c>
      <c r="M33" s="524"/>
      <c r="N33" s="522">
        <f>J33*SUM(FBT!$I$66:$I$79)</f>
        <v>0</v>
      </c>
      <c r="O33" s="522">
        <f>J33*SUM(FBT!$J$66:$J$79)</f>
        <v>0</v>
      </c>
      <c r="P33" s="525">
        <f t="shared" si="9"/>
        <v>0</v>
      </c>
      <c r="Q33" s="525">
        <f t="shared" si="10"/>
        <v>0</v>
      </c>
      <c r="R33" s="525">
        <f>SUMIF(FBT!D:D, 'Form A Mapping'!H33,FBT!I:I)</f>
        <v>0</v>
      </c>
      <c r="S33" s="526">
        <f>SUMIF(FBT!D:D, 'Form A Mapping'!H33,FBT!J:J)</f>
        <v>0</v>
      </c>
      <c r="T33" s="636">
        <f>SUMIF('P&amp;L 1'!$A$31:$A$43,H33,'P&amp;L 1'!$E$31:$E$43)</f>
        <v>0</v>
      </c>
      <c r="U33" s="523">
        <f t="shared" si="5"/>
        <v>0</v>
      </c>
      <c r="V33" s="522">
        <f>U33*SUM('P&amp;L 1'!$B$92)</f>
        <v>0</v>
      </c>
      <c r="W33" s="526">
        <f t="shared" si="6"/>
        <v>0</v>
      </c>
      <c r="X33" s="639">
        <f>SUMIF('P&amp;L 2'!$A$33:$A$61,H33,'P&amp;L 2'!$E$33:$E$61)</f>
        <v>0</v>
      </c>
      <c r="Y33" s="523" t="e">
        <f t="shared" si="7"/>
        <v>#DIV/0!</v>
      </c>
      <c r="Z33" s="640" t="e">
        <f>Y33*SUM('P&amp;L 2'!$E$158)</f>
        <v>#DIV/0!</v>
      </c>
      <c r="AA33" s="526" t="e">
        <f t="shared" si="8"/>
        <v>#DIV/0!</v>
      </c>
      <c r="AB33" s="477">
        <f>SUMIF('FY24'!D:D,'Form A Mapping'!H33,'FY24'!AJ:AJ)</f>
        <v>-146393</v>
      </c>
      <c r="AC33" s="477">
        <f t="shared" si="1"/>
        <v>0</v>
      </c>
      <c r="AD33" s="477">
        <f>SUMIF('P&amp;L 1'!A:A, 'Form A Mapping'!H33,'P&amp;L 1'!B:B)</f>
        <v>-9400</v>
      </c>
      <c r="AE33" s="477">
        <f>SUMIF('P&amp;L 2'!A:A, 'Form A Mapping'!H33,'P&amp;L 2'!B:B)</f>
        <v>0</v>
      </c>
      <c r="AF33" s="477">
        <f>SUMIF('FY24'!D:D,'Form A Mapping'!H33,'FY24'!AK:AK)</f>
        <v>146393</v>
      </c>
      <c r="AG33" s="477">
        <f t="shared" si="2"/>
        <v>0</v>
      </c>
      <c r="AH33" s="477">
        <f>IFERROR(SUMIF('P&amp;L SR 1'!A:A,H33, INDEX( 'P&amp;L SR 1'!A:ZZ, 0, MATCH("TOTAL", 'P&amp;L SR 1'!$5:$5, 0))), 0)</f>
        <v>9400</v>
      </c>
      <c r="AI33" s="477">
        <f>IFERROR(SUMIF('P&amp;L SR 2'!A:A,H33, INDEX( 'P&amp;L SR 2'!A:ZZ, 0, MATCH("TOTAL", 'P&amp;L SR 2'!$5:$5, 0))), 0)</f>
        <v>0</v>
      </c>
    </row>
    <row r="34" spans="8:35">
      <c r="H34" s="528"/>
      <c r="I34" s="529">
        <f t="shared" ref="I34:AB34" si="11">SUM(I14:I33)</f>
        <v>1118254.0411999999</v>
      </c>
      <c r="J34" s="525">
        <f t="shared" si="11"/>
        <v>1</v>
      </c>
      <c r="K34" s="529">
        <f t="shared" si="11"/>
        <v>1268801</v>
      </c>
      <c r="L34" s="525">
        <f t="shared" si="11"/>
        <v>0.99999999999999989</v>
      </c>
      <c r="M34" s="525">
        <f t="shared" si="11"/>
        <v>0</v>
      </c>
      <c r="N34" s="529">
        <f t="shared" si="11"/>
        <v>386853.75604980008</v>
      </c>
      <c r="O34" s="529">
        <f t="shared" si="11"/>
        <v>95000</v>
      </c>
      <c r="P34" s="525">
        <f t="shared" si="11"/>
        <v>1505107.7972497998</v>
      </c>
      <c r="Q34" s="525">
        <f t="shared" si="11"/>
        <v>1363801</v>
      </c>
      <c r="R34" s="525">
        <f t="shared" ref="R34" si="12">SUM(R14:R33)</f>
        <v>3039698.5599172027</v>
      </c>
      <c r="S34" s="526">
        <f t="shared" ref="S34" si="13">SUM(S14:S33)</f>
        <v>1618801</v>
      </c>
      <c r="T34" s="628">
        <f>SUM(T13:T33)</f>
        <v>1004807.5800000001</v>
      </c>
      <c r="U34" s="525">
        <f t="shared" ref="U34:AA34" si="14">SUM(U13:U33)</f>
        <v>1</v>
      </c>
      <c r="V34" s="525">
        <f t="shared" si="14"/>
        <v>205822.12000000005</v>
      </c>
      <c r="W34" s="526">
        <f t="shared" si="14"/>
        <v>1210629.7</v>
      </c>
      <c r="X34" s="628">
        <f t="shared" si="14"/>
        <v>0</v>
      </c>
      <c r="Y34" s="525" t="e">
        <f t="shared" si="14"/>
        <v>#DIV/0!</v>
      </c>
      <c r="Z34" s="525" t="e">
        <f t="shared" si="14"/>
        <v>#DIV/0!</v>
      </c>
      <c r="AA34" s="526" t="e">
        <f t="shared" si="14"/>
        <v>#DIV/0!</v>
      </c>
      <c r="AB34" s="477">
        <f t="shared" si="11"/>
        <v>2021595.5000000005</v>
      </c>
      <c r="AC34" s="477">
        <f>SUM(AC14:AC33)</f>
        <v>3426552.3159670029</v>
      </c>
      <c r="AD34" s="477">
        <f t="shared" ref="AD34:AI34" si="15">SUM(AD14:AD33)</f>
        <v>1672275.1000000006</v>
      </c>
      <c r="AE34" s="477">
        <f t="shared" si="15"/>
        <v>0</v>
      </c>
      <c r="AF34" s="477">
        <f t="shared" si="15"/>
        <v>1983915.03</v>
      </c>
      <c r="AG34" s="477">
        <f t="shared" si="15"/>
        <v>1713801</v>
      </c>
      <c r="AH34" s="477">
        <f t="shared" si="15"/>
        <v>395877.24999999988</v>
      </c>
      <c r="AI34" s="477">
        <f t="shared" si="15"/>
        <v>0</v>
      </c>
    </row>
    <row r="35" spans="8:35" ht="16" thickBot="1">
      <c r="H35" s="530"/>
      <c r="I35" s="531"/>
      <c r="J35" s="531"/>
      <c r="K35" s="531"/>
      <c r="L35" s="531"/>
      <c r="M35" s="531"/>
      <c r="N35" s="531"/>
      <c r="O35" s="532" t="s">
        <v>641</v>
      </c>
      <c r="P35" s="533">
        <f>I34+N34</f>
        <v>1505107.7972498001</v>
      </c>
      <c r="Q35" s="533">
        <f>K34+O34</f>
        <v>1363801</v>
      </c>
      <c r="R35" s="532"/>
      <c r="S35" s="534"/>
      <c r="T35" s="629"/>
      <c r="U35" s="532"/>
      <c r="V35" s="532"/>
      <c r="W35" s="534"/>
      <c r="X35" s="629"/>
      <c r="Y35" s="532"/>
      <c r="Z35" s="532"/>
      <c r="AA35" s="534"/>
      <c r="AB35" s="477"/>
      <c r="AC35" s="477"/>
      <c r="AD35" s="477"/>
      <c r="AE35" s="477"/>
      <c r="AF35" s="477"/>
      <c r="AG35" s="477"/>
      <c r="AH35" s="477"/>
      <c r="AI35" s="477"/>
    </row>
    <row r="37" spans="8:35" ht="16" thickBot="1"/>
    <row r="38" spans="8:35">
      <c r="AA38" s="535" t="s">
        <v>642</v>
      </c>
      <c r="AB38" s="536">
        <f>'Annual Budget '!F156</f>
        <v>2021595.5</v>
      </c>
      <c r="AC38" s="536">
        <f>'Annual Budget '!G156</f>
        <v>3426552.3159670024</v>
      </c>
      <c r="AD38" s="536">
        <f>'P&amp;L 1'!B148</f>
        <v>1672275.1000000003</v>
      </c>
      <c r="AE38" s="536"/>
      <c r="AF38" s="536">
        <f>'Annual Budget '!H156</f>
        <v>1983914.5399999998</v>
      </c>
      <c r="AG38" s="536">
        <f>'Annual Budget '!I156</f>
        <v>1713801</v>
      </c>
      <c r="AH38" s="536">
        <f>'P&amp;L SR 1'!Z76</f>
        <v>395877.25</v>
      </c>
      <c r="AI38" s="537"/>
    </row>
    <row r="39" spans="8:35">
      <c r="AA39" s="538" t="s">
        <v>643</v>
      </c>
      <c r="AB39" s="476">
        <f>AB34-AB38</f>
        <v>0</v>
      </c>
      <c r="AC39" s="476">
        <f t="shared" ref="AC39:AH39" si="16">AC34-AC38</f>
        <v>0</v>
      </c>
      <c r="AD39" s="476">
        <f t="shared" si="16"/>
        <v>0</v>
      </c>
      <c r="AE39" s="476">
        <f t="shared" si="16"/>
        <v>0</v>
      </c>
      <c r="AF39" s="476">
        <f t="shared" si="16"/>
        <v>0.49000000022351742</v>
      </c>
      <c r="AG39" s="476">
        <f t="shared" si="16"/>
        <v>0</v>
      </c>
      <c r="AH39" s="476">
        <f t="shared" si="16"/>
        <v>0</v>
      </c>
      <c r="AI39" s="489"/>
    </row>
    <row r="40" spans="8:35">
      <c r="AA40" s="488" t="s">
        <v>644</v>
      </c>
      <c r="AB40" s="484">
        <f>'Annual Budget '!F85</f>
        <v>2336677.1799999997</v>
      </c>
      <c r="AC40" s="484">
        <f>'Annual Budget '!G85</f>
        <v>3751404.4965610709</v>
      </c>
      <c r="AD40" s="484">
        <f>'P&amp;L 1'!B28</f>
        <v>1290417.79</v>
      </c>
      <c r="AE40" s="484"/>
      <c r="AF40" s="484">
        <f>'Annual Budget '!H85</f>
        <v>1998415.03</v>
      </c>
      <c r="AG40" s="484">
        <f>'Annual Budget '!I85</f>
        <v>1713800.583360787</v>
      </c>
      <c r="AH40" s="484">
        <f>'P&amp;L SR 1'!Z21</f>
        <v>760302.39</v>
      </c>
      <c r="AI40" s="489"/>
    </row>
    <row r="41" spans="8:35" ht="16" thickBot="1">
      <c r="AA41" s="539" t="s">
        <v>643</v>
      </c>
      <c r="AB41" s="540">
        <f>AB40-SUM(AB7:AB13)</f>
        <v>0</v>
      </c>
      <c r="AC41" s="540">
        <f t="shared" ref="AC41:AH41" si="17">AC40-SUM(AC7:AC13)</f>
        <v>0</v>
      </c>
      <c r="AD41" s="540">
        <f t="shared" si="17"/>
        <v>0</v>
      </c>
      <c r="AE41" s="540">
        <f t="shared" si="17"/>
        <v>0</v>
      </c>
      <c r="AF41" s="540">
        <f t="shared" si="17"/>
        <v>0</v>
      </c>
      <c r="AG41" s="540">
        <f t="shared" si="17"/>
        <v>0</v>
      </c>
      <c r="AH41" s="540">
        <f t="shared" si="17"/>
        <v>0</v>
      </c>
      <c r="AI41" s="541"/>
    </row>
  </sheetData>
  <mergeCells count="34">
    <mergeCell ref="W3:W5"/>
    <mergeCell ref="AA3:AA5"/>
    <mergeCell ref="Z3:Z5"/>
    <mergeCell ref="T2:W2"/>
    <mergeCell ref="X2:AA2"/>
    <mergeCell ref="S3:S5"/>
    <mergeCell ref="A1:D2"/>
    <mergeCell ref="H2:S2"/>
    <mergeCell ref="AB2:AE2"/>
    <mergeCell ref="AF2:AI2"/>
    <mergeCell ref="H3:H5"/>
    <mergeCell ref="I3:I5"/>
    <mergeCell ref="J3:J5"/>
    <mergeCell ref="K3:K5"/>
    <mergeCell ref="L3:L5"/>
    <mergeCell ref="M3:M5"/>
    <mergeCell ref="T3:T5"/>
    <mergeCell ref="U3:U5"/>
    <mergeCell ref="X3:X5"/>
    <mergeCell ref="V3:V5"/>
    <mergeCell ref="Y3:Y5"/>
    <mergeCell ref="N3:N5"/>
    <mergeCell ref="O3:O5"/>
    <mergeCell ref="P3:P5"/>
    <mergeCell ref="Q3:Q5"/>
    <mergeCell ref="R3:R5"/>
    <mergeCell ref="AH3:AH5"/>
    <mergeCell ref="AI3:AI5"/>
    <mergeCell ref="AB3:AB5"/>
    <mergeCell ref="AC3:AC5"/>
    <mergeCell ref="AD3:AD5"/>
    <mergeCell ref="AE3:AE5"/>
    <mergeCell ref="AF3:AF5"/>
    <mergeCell ref="AG3:AG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E6CEB-A873-4455-BBB4-2F7897DAE099}">
  <dimension ref="A1:Z82"/>
  <sheetViews>
    <sheetView workbookViewId="0">
      <selection activeCell="J14" sqref="J14"/>
    </sheetView>
  </sheetViews>
  <sheetFormatPr defaultRowHeight="15.5"/>
  <cols>
    <col min="2" max="2" width="37.4609375" customWidth="1"/>
    <col min="3" max="3" width="6" customWidth="1"/>
    <col min="4" max="4" width="8" customWidth="1"/>
    <col min="5" max="5" width="6.69140625" customWidth="1"/>
    <col min="6" max="6" width="7.3046875" customWidth="1"/>
    <col min="7" max="7" width="8" customWidth="1"/>
    <col min="8" max="8" width="6" customWidth="1"/>
    <col min="9" max="9" width="8" customWidth="1"/>
    <col min="10" max="10" width="7.3046875" customWidth="1"/>
    <col min="11" max="11" width="8" customWidth="1"/>
    <col min="12" max="12" width="6.69140625" customWidth="1"/>
    <col min="13" max="13" width="8" customWidth="1"/>
    <col min="14" max="14" width="6.69140625" customWidth="1"/>
    <col min="15" max="15" width="8" customWidth="1"/>
    <col min="16" max="16" width="6" customWidth="1"/>
    <col min="17" max="18" width="8" customWidth="1"/>
    <col min="19" max="19" width="8.69140625" customWidth="1"/>
    <col min="20" max="20" width="7.3046875" customWidth="1"/>
    <col min="21" max="21" width="8" customWidth="1"/>
    <col min="22" max="22" width="8.69140625" customWidth="1"/>
    <col min="23" max="23" width="6" customWidth="1"/>
    <col min="24" max="26" width="8" customWidth="1"/>
  </cols>
  <sheetData>
    <row r="1" spans="1:26" ht="18">
      <c r="A1" s="616" t="s">
        <v>742</v>
      </c>
      <c r="B1" s="626" t="s">
        <v>4286</v>
      </c>
    </row>
    <row r="2" spans="1:26" ht="18">
      <c r="A2" s="478"/>
      <c r="B2" s="626" t="s">
        <v>4298</v>
      </c>
    </row>
    <row r="3" spans="1:26">
      <c r="A3" s="478"/>
      <c r="B3" s="627" t="s">
        <v>4288</v>
      </c>
    </row>
    <row r="4" spans="1:26">
      <c r="A4" s="478"/>
    </row>
    <row r="5" spans="1:26" ht="24">
      <c r="A5" s="478"/>
      <c r="B5" s="494"/>
      <c r="C5" s="618" t="s">
        <v>4299</v>
      </c>
      <c r="D5" s="618" t="s">
        <v>4300</v>
      </c>
      <c r="E5" s="618" t="s">
        <v>4301</v>
      </c>
      <c r="F5" s="618" t="s">
        <v>4302</v>
      </c>
      <c r="G5" s="618" t="s">
        <v>4303</v>
      </c>
      <c r="H5" s="618" t="s">
        <v>4304</v>
      </c>
      <c r="I5" s="618" t="s">
        <v>4305</v>
      </c>
      <c r="J5" s="618" t="s">
        <v>4306</v>
      </c>
      <c r="K5" s="618" t="s">
        <v>4307</v>
      </c>
      <c r="L5" s="618" t="s">
        <v>4308</v>
      </c>
      <c r="M5" s="618" t="s">
        <v>4309</v>
      </c>
      <c r="N5" s="618" t="s">
        <v>4310</v>
      </c>
      <c r="O5" s="618" t="s">
        <v>4311</v>
      </c>
      <c r="P5" s="618" t="s">
        <v>4312</v>
      </c>
      <c r="Q5" s="618" t="s">
        <v>4313</v>
      </c>
      <c r="R5" s="618" t="s">
        <v>4314</v>
      </c>
      <c r="S5" s="618" t="s">
        <v>263</v>
      </c>
      <c r="T5" s="618" t="s">
        <v>281</v>
      </c>
      <c r="U5" s="618" t="s">
        <v>440</v>
      </c>
      <c r="V5" s="618" t="s">
        <v>4315</v>
      </c>
      <c r="W5" s="618" t="s">
        <v>4316</v>
      </c>
      <c r="X5" s="618" t="s">
        <v>434</v>
      </c>
      <c r="Y5" s="618" t="s">
        <v>4317</v>
      </c>
      <c r="Z5" s="618" t="s">
        <v>264</v>
      </c>
    </row>
    <row r="6" spans="1:26">
      <c r="A6" s="478"/>
      <c r="B6" s="619" t="s">
        <v>441</v>
      </c>
      <c r="C6" s="620"/>
      <c r="D6" s="620"/>
      <c r="E6" s="620"/>
      <c r="F6" s="620"/>
      <c r="G6" s="620"/>
      <c r="H6" s="620"/>
      <c r="I6" s="620"/>
      <c r="J6" s="620"/>
      <c r="K6" s="620"/>
      <c r="L6" s="620"/>
      <c r="M6" s="620"/>
      <c r="N6" s="620"/>
      <c r="O6" s="620"/>
      <c r="P6" s="620"/>
      <c r="Q6" s="620"/>
      <c r="R6" s="620"/>
      <c r="S6" s="620"/>
      <c r="T6" s="620"/>
      <c r="U6" s="620"/>
      <c r="V6" s="620"/>
      <c r="W6" s="620"/>
      <c r="X6" s="620"/>
      <c r="Y6" s="620"/>
      <c r="Z6" s="620"/>
    </row>
    <row r="7" spans="1:26">
      <c r="A7" s="478"/>
      <c r="B7" s="619" t="s">
        <v>445</v>
      </c>
      <c r="C7" s="623"/>
      <c r="D7" s="623"/>
      <c r="E7" s="623"/>
      <c r="F7" s="623"/>
      <c r="G7" s="624">
        <f t="shared" ref="G7" si="0">(((C7)+(D7))+(E7))+(F7)</f>
        <v>0</v>
      </c>
      <c r="H7" s="620"/>
      <c r="I7" s="620"/>
      <c r="J7" s="620"/>
      <c r="K7" s="620"/>
      <c r="L7" s="620"/>
      <c r="M7" s="620"/>
      <c r="N7" s="620"/>
      <c r="O7" s="621">
        <f t="shared" ref="O7:O21" si="1">((((((H7)+(I7))+(J7))+(K7))+(L7))+(M7))+(N7)</f>
        <v>0</v>
      </c>
      <c r="P7" s="620"/>
      <c r="Q7" s="620"/>
      <c r="R7" s="620"/>
      <c r="S7" s="620"/>
      <c r="T7" s="620"/>
      <c r="U7" s="620"/>
      <c r="V7" s="621">
        <f t="shared" ref="V7:V21" si="2">(((((P7)+(Q7))+(R7))+(S7))+(T7))+(U7)</f>
        <v>0</v>
      </c>
      <c r="W7" s="620"/>
      <c r="X7" s="620"/>
      <c r="Y7" s="621">
        <f t="shared" ref="Y7:Y21" si="3">(W7)+(X7)</f>
        <v>0</v>
      </c>
      <c r="Z7" s="621">
        <f t="shared" ref="Z7:Z21" si="4">(((G7)+(O7))+(V7))+(Y7)</f>
        <v>0</v>
      </c>
    </row>
    <row r="8" spans="1:26">
      <c r="A8" s="478" cm="1">
        <f t="array" ref="A8">INDEX('Master Mapping'!O:O, MATCH(TRUE, EXACT(TEXT(LEFT(TRIM(B8), 7), "@"), 'Master Mapping'!A:A), 0))</f>
        <v>2</v>
      </c>
      <c r="B8" s="619" t="s">
        <v>446</v>
      </c>
      <c r="C8" s="623"/>
      <c r="D8" s="623"/>
      <c r="E8" s="623"/>
      <c r="F8" s="623"/>
      <c r="G8" s="624">
        <f t="shared" ref="G8:G71" si="5">(((C8)+(D8))+(E8))+(F8)</f>
        <v>0</v>
      </c>
      <c r="H8" s="620"/>
      <c r="I8" s="620"/>
      <c r="J8" s="620"/>
      <c r="K8" s="620"/>
      <c r="L8" s="620"/>
      <c r="M8" s="620"/>
      <c r="N8" s="620"/>
      <c r="O8" s="621">
        <f t="shared" si="1"/>
        <v>0</v>
      </c>
      <c r="P8" s="620"/>
      <c r="Q8" s="620"/>
      <c r="R8" s="620"/>
      <c r="S8" s="620"/>
      <c r="T8" s="620"/>
      <c r="U8" s="620"/>
      <c r="V8" s="621">
        <f t="shared" si="2"/>
        <v>0</v>
      </c>
      <c r="W8" s="620"/>
      <c r="X8" s="620"/>
      <c r="Y8" s="621">
        <f t="shared" si="3"/>
        <v>0</v>
      </c>
      <c r="Z8" s="621">
        <f t="shared" si="4"/>
        <v>0</v>
      </c>
    </row>
    <row r="9" spans="1:26">
      <c r="A9" s="478" t="e" cm="1">
        <f t="array" ref="A9">INDEX('Master Mapping'!O:O, MATCH(TRUE, EXACT(TEXT(LEFT(TRIM(B9), 7), "@"), 'Master Mapping'!A:A), 0))</f>
        <v>#N/A</v>
      </c>
      <c r="B9" s="619" t="s">
        <v>447</v>
      </c>
      <c r="C9" s="623"/>
      <c r="D9" s="623"/>
      <c r="E9" s="623"/>
      <c r="F9" s="623"/>
      <c r="G9" s="624">
        <f t="shared" si="5"/>
        <v>0</v>
      </c>
      <c r="H9" s="622">
        <f t="shared" ref="H9:N9" si="6">(H7)+(H8)</f>
        <v>0</v>
      </c>
      <c r="I9" s="622">
        <f t="shared" si="6"/>
        <v>0</v>
      </c>
      <c r="J9" s="622">
        <f t="shared" si="6"/>
        <v>0</v>
      </c>
      <c r="K9" s="622">
        <f t="shared" si="6"/>
        <v>0</v>
      </c>
      <c r="L9" s="622">
        <f t="shared" si="6"/>
        <v>0</v>
      </c>
      <c r="M9" s="622">
        <f t="shared" si="6"/>
        <v>0</v>
      </c>
      <c r="N9" s="622">
        <f t="shared" si="6"/>
        <v>0</v>
      </c>
      <c r="O9" s="622">
        <f t="shared" si="1"/>
        <v>0</v>
      </c>
      <c r="P9" s="622">
        <f t="shared" ref="P9:U9" si="7">(P7)+(P8)</f>
        <v>0</v>
      </c>
      <c r="Q9" s="622">
        <f t="shared" si="7"/>
        <v>0</v>
      </c>
      <c r="R9" s="622">
        <f t="shared" si="7"/>
        <v>0</v>
      </c>
      <c r="S9" s="622">
        <f t="shared" si="7"/>
        <v>0</v>
      </c>
      <c r="T9" s="622">
        <f t="shared" si="7"/>
        <v>0</v>
      </c>
      <c r="U9" s="622">
        <f t="shared" si="7"/>
        <v>0</v>
      </c>
      <c r="V9" s="622">
        <f t="shared" si="2"/>
        <v>0</v>
      </c>
      <c r="W9" s="622">
        <f>(W7)+(W8)</f>
        <v>0</v>
      </c>
      <c r="X9" s="622">
        <f>(X7)+(X8)</f>
        <v>0</v>
      </c>
      <c r="Y9" s="622">
        <f t="shared" si="3"/>
        <v>0</v>
      </c>
      <c r="Z9" s="622">
        <f t="shared" si="4"/>
        <v>0</v>
      </c>
    </row>
    <row r="10" spans="1:26">
      <c r="A10" s="478" t="e" cm="1">
        <f t="array" ref="A10">INDEX('Master Mapping'!O:O, MATCH(TRUE, EXACT(TEXT(LEFT(TRIM(B10), 7), "@"), 'Master Mapping'!A:A), 0))</f>
        <v>#N/A</v>
      </c>
      <c r="B10" s="619" t="s">
        <v>448</v>
      </c>
      <c r="C10" s="623"/>
      <c r="D10" s="623"/>
      <c r="E10" s="623"/>
      <c r="F10" s="623"/>
      <c r="G10" s="624">
        <f t="shared" si="5"/>
        <v>0</v>
      </c>
      <c r="H10" s="620"/>
      <c r="I10" s="620"/>
      <c r="J10" s="620"/>
      <c r="K10" s="620"/>
      <c r="L10" s="620"/>
      <c r="M10" s="620"/>
      <c r="N10" s="620"/>
      <c r="O10" s="621">
        <f t="shared" si="1"/>
        <v>0</v>
      </c>
      <c r="P10" s="620"/>
      <c r="Q10" s="620"/>
      <c r="R10" s="620"/>
      <c r="S10" s="620"/>
      <c r="T10" s="620"/>
      <c r="U10" s="620"/>
      <c r="V10" s="621">
        <f t="shared" si="2"/>
        <v>0</v>
      </c>
      <c r="W10" s="620"/>
      <c r="X10" s="620"/>
      <c r="Y10" s="621">
        <f t="shared" si="3"/>
        <v>0</v>
      </c>
      <c r="Z10" s="621">
        <f t="shared" si="4"/>
        <v>0</v>
      </c>
    </row>
    <row r="11" spans="1:26">
      <c r="A11" s="478" cm="1">
        <f t="array" ref="A11">INDEX('Master Mapping'!O:O, MATCH(TRUE, EXACT(TEXT(LEFT(TRIM(B11), 7), "@"), 'Master Mapping'!A:A), 0))</f>
        <v>5</v>
      </c>
      <c r="B11" s="619" t="s">
        <v>449</v>
      </c>
      <c r="C11" s="623"/>
      <c r="D11" s="623"/>
      <c r="E11" s="623"/>
      <c r="F11" s="623"/>
      <c r="G11" s="624">
        <f t="shared" si="5"/>
        <v>0</v>
      </c>
      <c r="H11" s="620"/>
      <c r="I11" s="620"/>
      <c r="J11" s="620"/>
      <c r="K11" s="620"/>
      <c r="L11" s="620"/>
      <c r="M11" s="620"/>
      <c r="N11" s="620"/>
      <c r="O11" s="621">
        <f t="shared" si="1"/>
        <v>0</v>
      </c>
      <c r="P11" s="620"/>
      <c r="Q11" s="620"/>
      <c r="R11" s="620"/>
      <c r="S11" s="620"/>
      <c r="T11" s="620"/>
      <c r="U11" s="620"/>
      <c r="V11" s="621">
        <f t="shared" si="2"/>
        <v>0</v>
      </c>
      <c r="W11" s="620"/>
      <c r="X11" s="621">
        <f>131833.39</f>
        <v>131833.39000000001</v>
      </c>
      <c r="Y11" s="621">
        <f t="shared" si="3"/>
        <v>131833.39000000001</v>
      </c>
      <c r="Z11" s="621">
        <f t="shared" si="4"/>
        <v>131833.39000000001</v>
      </c>
    </row>
    <row r="12" spans="1:26">
      <c r="A12" s="478" cm="1">
        <f t="array" ref="A12">INDEX('Master Mapping'!O:O, MATCH(TRUE, EXACT(TEXT(LEFT(TRIM(B12), 7), "@"), 'Master Mapping'!A:A), 0))</f>
        <v>5</v>
      </c>
      <c r="B12" s="619" t="s">
        <v>268</v>
      </c>
      <c r="C12" s="623"/>
      <c r="D12" s="623"/>
      <c r="E12" s="623"/>
      <c r="F12" s="623"/>
      <c r="G12" s="624">
        <f t="shared" si="5"/>
        <v>0</v>
      </c>
      <c r="H12" s="620"/>
      <c r="I12" s="620"/>
      <c r="J12" s="620"/>
      <c r="K12" s="620"/>
      <c r="L12" s="620"/>
      <c r="M12" s="621">
        <f>12164</f>
        <v>12164</v>
      </c>
      <c r="N12" s="620"/>
      <c r="O12" s="621">
        <f t="shared" si="1"/>
        <v>12164</v>
      </c>
      <c r="P12" s="620"/>
      <c r="Q12" s="620"/>
      <c r="R12" s="620"/>
      <c r="S12" s="620"/>
      <c r="T12" s="620"/>
      <c r="U12" s="620"/>
      <c r="V12" s="621">
        <f t="shared" si="2"/>
        <v>0</v>
      </c>
      <c r="W12" s="620"/>
      <c r="X12" s="620"/>
      <c r="Y12" s="621">
        <f t="shared" si="3"/>
        <v>0</v>
      </c>
      <c r="Z12" s="621">
        <f t="shared" si="4"/>
        <v>12164</v>
      </c>
    </row>
    <row r="13" spans="1:26">
      <c r="A13" s="478" cm="1">
        <f t="array" ref="A13">INDEX('Master Mapping'!O:O, MATCH(TRUE, EXACT(TEXT(LEFT(TRIM(B13), 7), "@"), 'Master Mapping'!A:A), 0))</f>
        <v>5</v>
      </c>
      <c r="B13" s="619" t="s">
        <v>269</v>
      </c>
      <c r="C13" s="623"/>
      <c r="D13" s="623"/>
      <c r="E13" s="623"/>
      <c r="F13" s="623"/>
      <c r="G13" s="624">
        <f t="shared" si="5"/>
        <v>0</v>
      </c>
      <c r="H13" s="620"/>
      <c r="I13" s="620"/>
      <c r="J13" s="620"/>
      <c r="K13" s="620"/>
      <c r="L13" s="620"/>
      <c r="M13" s="620"/>
      <c r="N13" s="621">
        <f>1895</f>
        <v>1895</v>
      </c>
      <c r="O13" s="621">
        <f t="shared" si="1"/>
        <v>1895</v>
      </c>
      <c r="P13" s="620"/>
      <c r="Q13" s="620"/>
      <c r="R13" s="620"/>
      <c r="S13" s="620"/>
      <c r="T13" s="620"/>
      <c r="U13" s="620"/>
      <c r="V13" s="621">
        <f t="shared" si="2"/>
        <v>0</v>
      </c>
      <c r="W13" s="620"/>
      <c r="X13" s="620"/>
      <c r="Y13" s="621">
        <f t="shared" si="3"/>
        <v>0</v>
      </c>
      <c r="Z13" s="621">
        <f t="shared" si="4"/>
        <v>1895</v>
      </c>
    </row>
    <row r="14" spans="1:26">
      <c r="A14" s="478" cm="1">
        <f t="array" ref="A14">INDEX('Master Mapping'!O:O, MATCH(TRUE, EXACT(TEXT(LEFT(TRIM(B14), 7), "@"), 'Master Mapping'!A:A), 0))</f>
        <v>5</v>
      </c>
      <c r="B14" s="619" t="s">
        <v>450</v>
      </c>
      <c r="C14" s="623"/>
      <c r="D14" s="623"/>
      <c r="E14" s="623"/>
      <c r="F14" s="623"/>
      <c r="G14" s="624">
        <f t="shared" si="5"/>
        <v>0</v>
      </c>
      <c r="H14" s="620"/>
      <c r="I14" s="620"/>
      <c r="J14" s="620"/>
      <c r="K14" s="620"/>
      <c r="L14" s="620"/>
      <c r="M14" s="620"/>
      <c r="N14" s="620"/>
      <c r="O14" s="621">
        <f t="shared" si="1"/>
        <v>0</v>
      </c>
      <c r="P14" s="620"/>
      <c r="Q14" s="620"/>
      <c r="R14" s="620"/>
      <c r="S14" s="621">
        <f>133000</f>
        <v>133000</v>
      </c>
      <c r="T14" s="620"/>
      <c r="U14" s="620"/>
      <c r="V14" s="621">
        <f t="shared" si="2"/>
        <v>133000</v>
      </c>
      <c r="W14" s="620"/>
      <c r="X14" s="620"/>
      <c r="Y14" s="621">
        <f t="shared" si="3"/>
        <v>0</v>
      </c>
      <c r="Z14" s="621">
        <f t="shared" si="4"/>
        <v>133000</v>
      </c>
    </row>
    <row r="15" spans="1:26">
      <c r="A15" s="478" cm="1">
        <f t="array" ref="A15">INDEX('Master Mapping'!O:O, MATCH(TRUE, EXACT(TEXT(LEFT(TRIM(B15), 7), "@"), 'Master Mapping'!A:A), 0))</f>
        <v>5</v>
      </c>
      <c r="B15" s="619" t="s">
        <v>451</v>
      </c>
      <c r="C15" s="623"/>
      <c r="D15" s="623"/>
      <c r="E15" s="623"/>
      <c r="F15" s="623"/>
      <c r="G15" s="624">
        <f t="shared" si="5"/>
        <v>0</v>
      </c>
      <c r="H15" s="620"/>
      <c r="I15" s="620"/>
      <c r="J15" s="620"/>
      <c r="K15" s="620"/>
      <c r="L15" s="620"/>
      <c r="M15" s="620"/>
      <c r="N15" s="620"/>
      <c r="O15" s="621">
        <f t="shared" si="1"/>
        <v>0</v>
      </c>
      <c r="P15" s="620"/>
      <c r="Q15" s="620"/>
      <c r="R15" s="620"/>
      <c r="S15" s="620"/>
      <c r="T15" s="620"/>
      <c r="U15" s="621">
        <f>4626</f>
        <v>4626</v>
      </c>
      <c r="V15" s="621">
        <f t="shared" si="2"/>
        <v>4626</v>
      </c>
      <c r="W15" s="620"/>
      <c r="X15" s="620"/>
      <c r="Y15" s="621">
        <f t="shared" si="3"/>
        <v>0</v>
      </c>
      <c r="Z15" s="621">
        <f t="shared" si="4"/>
        <v>4626</v>
      </c>
    </row>
    <row r="16" spans="1:26">
      <c r="A16" s="478" cm="1">
        <f t="array" ref="A16">INDEX('Master Mapping'!O:O, MATCH(TRUE, EXACT(TEXT(LEFT(TRIM(B16), 7), "@"), 'Master Mapping'!A:A), 0))</f>
        <v>5</v>
      </c>
      <c r="B16" s="619" t="s">
        <v>278</v>
      </c>
      <c r="C16" s="623"/>
      <c r="D16" s="623"/>
      <c r="E16" s="623"/>
      <c r="F16" s="623"/>
      <c r="G16" s="624">
        <f t="shared" si="5"/>
        <v>0</v>
      </c>
      <c r="H16" s="620"/>
      <c r="I16" s="620"/>
      <c r="J16" s="620"/>
      <c r="K16" s="620"/>
      <c r="L16" s="620"/>
      <c r="M16" s="620"/>
      <c r="N16" s="620"/>
      <c r="O16" s="621">
        <f t="shared" si="1"/>
        <v>0</v>
      </c>
      <c r="P16" s="620"/>
      <c r="Q16" s="620"/>
      <c r="R16" s="620"/>
      <c r="S16" s="620"/>
      <c r="T16" s="621">
        <f>11923</f>
        <v>11923</v>
      </c>
      <c r="U16" s="620"/>
      <c r="V16" s="621">
        <f t="shared" si="2"/>
        <v>11923</v>
      </c>
      <c r="W16" s="620"/>
      <c r="X16" s="620"/>
      <c r="Y16" s="621">
        <f t="shared" si="3"/>
        <v>0</v>
      </c>
      <c r="Z16" s="621">
        <f t="shared" si="4"/>
        <v>11923</v>
      </c>
    </row>
    <row r="17" spans="1:26">
      <c r="A17" s="478" cm="1">
        <f t="array" ref="A17">INDEX('Master Mapping'!O:O, MATCH(TRUE, EXACT(TEXT(LEFT(TRIM(B17), 7), "@"), 'Master Mapping'!A:A), 0))</f>
        <v>5</v>
      </c>
      <c r="B17" s="619" t="s">
        <v>4290</v>
      </c>
      <c r="C17" s="623"/>
      <c r="D17" s="623"/>
      <c r="E17" s="623"/>
      <c r="F17" s="623"/>
      <c r="G17" s="624">
        <f t="shared" si="5"/>
        <v>0</v>
      </c>
      <c r="H17" s="620"/>
      <c r="I17" s="620"/>
      <c r="J17" s="620"/>
      <c r="K17" s="620"/>
      <c r="L17" s="620"/>
      <c r="M17" s="620"/>
      <c r="N17" s="620"/>
      <c r="O17" s="621">
        <f t="shared" si="1"/>
        <v>0</v>
      </c>
      <c r="P17" s="620"/>
      <c r="Q17" s="620"/>
      <c r="R17" s="621">
        <f>9742</f>
        <v>9742</v>
      </c>
      <c r="S17" s="620"/>
      <c r="T17" s="620"/>
      <c r="U17" s="620"/>
      <c r="V17" s="621">
        <f t="shared" si="2"/>
        <v>9742</v>
      </c>
      <c r="W17" s="620"/>
      <c r="X17" s="620"/>
      <c r="Y17" s="621">
        <f t="shared" si="3"/>
        <v>0</v>
      </c>
      <c r="Z17" s="621">
        <f t="shared" si="4"/>
        <v>9742</v>
      </c>
    </row>
    <row r="18" spans="1:26">
      <c r="A18" s="478" cm="1">
        <f t="array" ref="A18">INDEX('Master Mapping'!O:O, MATCH(TRUE, EXACT(TEXT(LEFT(TRIM(B18), 7), "@"), 'Master Mapping'!A:A), 0))</f>
        <v>5</v>
      </c>
      <c r="B18" s="619" t="s">
        <v>452</v>
      </c>
      <c r="C18" s="623"/>
      <c r="D18" s="623"/>
      <c r="E18" s="623"/>
      <c r="F18" s="623"/>
      <c r="G18" s="624">
        <f t="shared" si="5"/>
        <v>0</v>
      </c>
      <c r="H18" s="620"/>
      <c r="I18" s="621">
        <f>232555</f>
        <v>232555</v>
      </c>
      <c r="J18" s="621">
        <f>15989</f>
        <v>15989</v>
      </c>
      <c r="K18" s="621">
        <f>169996</f>
        <v>169996</v>
      </c>
      <c r="L18" s="621">
        <f>6706</f>
        <v>6706</v>
      </c>
      <c r="M18" s="620"/>
      <c r="N18" s="620"/>
      <c r="O18" s="621">
        <f t="shared" si="1"/>
        <v>425246</v>
      </c>
      <c r="P18" s="620"/>
      <c r="Q18" s="621">
        <f>29873</f>
        <v>29873</v>
      </c>
      <c r="R18" s="620"/>
      <c r="S18" s="620"/>
      <c r="T18" s="620"/>
      <c r="U18" s="620"/>
      <c r="V18" s="621">
        <f t="shared" si="2"/>
        <v>29873</v>
      </c>
      <c r="W18" s="620"/>
      <c r="X18" s="620"/>
      <c r="Y18" s="621">
        <f t="shared" si="3"/>
        <v>0</v>
      </c>
      <c r="Z18" s="621">
        <f t="shared" si="4"/>
        <v>455119</v>
      </c>
    </row>
    <row r="19" spans="1:26">
      <c r="A19" s="478" t="e" cm="1">
        <f t="array" ref="A19">INDEX('Master Mapping'!O:O, MATCH(TRUE, EXACT(TEXT(LEFT(TRIM(B19), 7), "@"), 'Master Mapping'!A:A), 0))</f>
        <v>#N/A</v>
      </c>
      <c r="B19" s="619" t="s">
        <v>453</v>
      </c>
      <c r="C19" s="623"/>
      <c r="D19" s="623"/>
      <c r="E19" s="623"/>
      <c r="F19" s="623"/>
      <c r="G19" s="624">
        <f t="shared" si="5"/>
        <v>0</v>
      </c>
      <c r="H19" s="622">
        <f t="shared" ref="H19:N19" si="8">((((((((H10)+(H11))+(H12))+(H13))+(H14))+(H15))+(H16))+(H17))+(H18)</f>
        <v>0</v>
      </c>
      <c r="I19" s="622">
        <f t="shared" si="8"/>
        <v>232555</v>
      </c>
      <c r="J19" s="622">
        <f t="shared" si="8"/>
        <v>15989</v>
      </c>
      <c r="K19" s="622">
        <f t="shared" si="8"/>
        <v>169996</v>
      </c>
      <c r="L19" s="622">
        <f t="shared" si="8"/>
        <v>6706</v>
      </c>
      <c r="M19" s="622">
        <f t="shared" si="8"/>
        <v>12164</v>
      </c>
      <c r="N19" s="622">
        <f t="shared" si="8"/>
        <v>1895</v>
      </c>
      <c r="O19" s="622">
        <f t="shared" si="1"/>
        <v>439305</v>
      </c>
      <c r="P19" s="622">
        <f t="shared" ref="P19:U19" si="9">((((((((P10)+(P11))+(P12))+(P13))+(P14))+(P15))+(P16))+(P17))+(P18)</f>
        <v>0</v>
      </c>
      <c r="Q19" s="622">
        <f t="shared" si="9"/>
        <v>29873</v>
      </c>
      <c r="R19" s="622">
        <f t="shared" si="9"/>
        <v>9742</v>
      </c>
      <c r="S19" s="622">
        <f t="shared" si="9"/>
        <v>133000</v>
      </c>
      <c r="T19" s="622">
        <f t="shared" si="9"/>
        <v>11923</v>
      </c>
      <c r="U19" s="622">
        <f t="shared" si="9"/>
        <v>4626</v>
      </c>
      <c r="V19" s="622">
        <f t="shared" si="2"/>
        <v>189164</v>
      </c>
      <c r="W19" s="622">
        <f>((((((((W10)+(W11))+(W12))+(W13))+(W14))+(W15))+(W16))+(W17))+(W18)</f>
        <v>0</v>
      </c>
      <c r="X19" s="622">
        <f>((((((((X10)+(X11))+(X12))+(X13))+(X14))+(X15))+(X16))+(X17))+(X18)</f>
        <v>131833.39000000001</v>
      </c>
      <c r="Y19" s="622">
        <f t="shared" si="3"/>
        <v>131833.39000000001</v>
      </c>
      <c r="Z19" s="622">
        <f t="shared" si="4"/>
        <v>760302.39</v>
      </c>
    </row>
    <row r="20" spans="1:26">
      <c r="A20" s="478" t="e" cm="1">
        <f t="array" ref="A20">INDEX('Master Mapping'!O:O, MATCH(TRUE, EXACT(TEXT(LEFT(TRIM(B20), 7), "@"), 'Master Mapping'!A:A), 0))</f>
        <v>#N/A</v>
      </c>
      <c r="B20" s="619" t="s">
        <v>454</v>
      </c>
      <c r="C20" s="623"/>
      <c r="D20" s="623"/>
      <c r="E20" s="623"/>
      <c r="F20" s="623"/>
      <c r="G20" s="624">
        <f t="shared" si="5"/>
        <v>0</v>
      </c>
      <c r="H20" s="622">
        <f t="shared" ref="H20:N20" si="10">(H9)+(H19)</f>
        <v>0</v>
      </c>
      <c r="I20" s="622">
        <f t="shared" si="10"/>
        <v>232555</v>
      </c>
      <c r="J20" s="622">
        <f t="shared" si="10"/>
        <v>15989</v>
      </c>
      <c r="K20" s="622">
        <f t="shared" si="10"/>
        <v>169996</v>
      </c>
      <c r="L20" s="622">
        <f t="shared" si="10"/>
        <v>6706</v>
      </c>
      <c r="M20" s="622">
        <f t="shared" si="10"/>
        <v>12164</v>
      </c>
      <c r="N20" s="622">
        <f t="shared" si="10"/>
        <v>1895</v>
      </c>
      <c r="O20" s="622">
        <f t="shared" si="1"/>
        <v>439305</v>
      </c>
      <c r="P20" s="622">
        <f t="shared" ref="P20:U20" si="11">(P9)+(P19)</f>
        <v>0</v>
      </c>
      <c r="Q20" s="622">
        <f t="shared" si="11"/>
        <v>29873</v>
      </c>
      <c r="R20" s="622">
        <f t="shared" si="11"/>
        <v>9742</v>
      </c>
      <c r="S20" s="622">
        <f t="shared" si="11"/>
        <v>133000</v>
      </c>
      <c r="T20" s="622">
        <f t="shared" si="11"/>
        <v>11923</v>
      </c>
      <c r="U20" s="622">
        <f t="shared" si="11"/>
        <v>4626</v>
      </c>
      <c r="V20" s="622">
        <f t="shared" si="2"/>
        <v>189164</v>
      </c>
      <c r="W20" s="622">
        <f>(W9)+(W19)</f>
        <v>0</v>
      </c>
      <c r="X20" s="622">
        <f>(X9)+(X19)</f>
        <v>131833.39000000001</v>
      </c>
      <c r="Y20" s="622">
        <f t="shared" si="3"/>
        <v>131833.39000000001</v>
      </c>
      <c r="Z20" s="622">
        <f t="shared" si="4"/>
        <v>760302.39</v>
      </c>
    </row>
    <row r="21" spans="1:26">
      <c r="A21" s="478" t="e" cm="1">
        <f t="array" ref="A21">INDEX('Master Mapping'!O:O, MATCH(TRUE, EXACT(TEXT(LEFT(TRIM(B21), 7), "@"), 'Master Mapping'!A:A), 0))</f>
        <v>#N/A</v>
      </c>
      <c r="B21" s="619" t="s">
        <v>270</v>
      </c>
      <c r="C21" s="623"/>
      <c r="D21" s="623"/>
      <c r="E21" s="623"/>
      <c r="F21" s="623"/>
      <c r="G21" s="624">
        <f t="shared" si="5"/>
        <v>0</v>
      </c>
      <c r="H21" s="622">
        <f t="shared" ref="H21:N21" si="12">(H20)-(0)</f>
        <v>0</v>
      </c>
      <c r="I21" s="622">
        <f t="shared" si="12"/>
        <v>232555</v>
      </c>
      <c r="J21" s="622">
        <f t="shared" si="12"/>
        <v>15989</v>
      </c>
      <c r="K21" s="622">
        <f t="shared" si="12"/>
        <v>169996</v>
      </c>
      <c r="L21" s="622">
        <f t="shared" si="12"/>
        <v>6706</v>
      </c>
      <c r="M21" s="622">
        <f t="shared" si="12"/>
        <v>12164</v>
      </c>
      <c r="N21" s="622">
        <f t="shared" si="12"/>
        <v>1895</v>
      </c>
      <c r="O21" s="622">
        <f t="shared" si="1"/>
        <v>439305</v>
      </c>
      <c r="P21" s="622">
        <f t="shared" ref="P21:U21" si="13">(P20)-(0)</f>
        <v>0</v>
      </c>
      <c r="Q21" s="622">
        <f t="shared" si="13"/>
        <v>29873</v>
      </c>
      <c r="R21" s="622">
        <f t="shared" si="13"/>
        <v>9742</v>
      </c>
      <c r="S21" s="622">
        <f t="shared" si="13"/>
        <v>133000</v>
      </c>
      <c r="T21" s="622">
        <f t="shared" si="13"/>
        <v>11923</v>
      </c>
      <c r="U21" s="622">
        <f t="shared" si="13"/>
        <v>4626</v>
      </c>
      <c r="V21" s="622">
        <f t="shared" si="2"/>
        <v>189164</v>
      </c>
      <c r="W21" s="622">
        <f>(W20)-(0)</f>
        <v>0</v>
      </c>
      <c r="X21" s="622">
        <f>(X20)-(0)</f>
        <v>131833.39000000001</v>
      </c>
      <c r="Y21" s="622">
        <f t="shared" si="3"/>
        <v>131833.39000000001</v>
      </c>
      <c r="Z21" s="622">
        <f t="shared" si="4"/>
        <v>760302.39</v>
      </c>
    </row>
    <row r="22" spans="1:26">
      <c r="A22" s="478" t="e" cm="1">
        <f t="array" ref="A22">INDEX('Master Mapping'!O:O, MATCH(TRUE, EXACT(TEXT(LEFT(TRIM(B22), 7), "@"), 'Master Mapping'!A:A), 0))</f>
        <v>#N/A</v>
      </c>
      <c r="B22" s="619" t="s">
        <v>243</v>
      </c>
      <c r="C22" s="623"/>
      <c r="D22" s="623"/>
      <c r="E22" s="623"/>
      <c r="F22" s="623"/>
      <c r="G22" s="624">
        <f t="shared" si="5"/>
        <v>0</v>
      </c>
      <c r="H22" s="620"/>
      <c r="I22" s="620"/>
      <c r="J22" s="620"/>
      <c r="K22" s="620"/>
      <c r="L22" s="620"/>
      <c r="M22" s="620"/>
      <c r="N22" s="620"/>
      <c r="O22" s="620"/>
      <c r="P22" s="620"/>
      <c r="Q22" s="620"/>
      <c r="R22" s="620"/>
      <c r="S22" s="620"/>
      <c r="T22" s="620"/>
      <c r="U22" s="620"/>
      <c r="V22" s="620"/>
      <c r="W22" s="620"/>
      <c r="X22" s="620"/>
      <c r="Y22" s="620"/>
      <c r="Z22" s="620"/>
    </row>
    <row r="23" spans="1:26">
      <c r="A23" s="478" t="e" cm="1">
        <f t="array" ref="A23">INDEX('Master Mapping'!O:O, MATCH(TRUE, EXACT(TEXT(LEFT(TRIM(B23), 7), "@"), 'Master Mapping'!A:A), 0))</f>
        <v>#N/A</v>
      </c>
      <c r="B23" s="619" t="s">
        <v>455</v>
      </c>
      <c r="C23" s="623"/>
      <c r="D23" s="623"/>
      <c r="E23" s="623"/>
      <c r="F23" s="623"/>
      <c r="G23" s="624">
        <f t="shared" si="5"/>
        <v>0</v>
      </c>
      <c r="H23" s="620"/>
      <c r="I23" s="620"/>
      <c r="J23" s="620"/>
      <c r="K23" s="620"/>
      <c r="L23" s="620"/>
      <c r="M23" s="620"/>
      <c r="N23" s="620"/>
      <c r="O23" s="621">
        <f t="shared" ref="O23:O78" si="14">((((((H23)+(I23))+(J23))+(K23))+(L23))+(M23))+(N23)</f>
        <v>0</v>
      </c>
      <c r="P23" s="620"/>
      <c r="Q23" s="620"/>
      <c r="R23" s="620"/>
      <c r="S23" s="620"/>
      <c r="T23" s="620"/>
      <c r="U23" s="620"/>
      <c r="V23" s="621">
        <f t="shared" ref="V23:V78" si="15">(((((P23)+(Q23))+(R23))+(S23))+(T23))+(U23)</f>
        <v>0</v>
      </c>
      <c r="W23" s="620"/>
      <c r="X23" s="620"/>
      <c r="Y23" s="621">
        <f t="shared" ref="Y23:Y78" si="16">(W23)+(X23)</f>
        <v>0</v>
      </c>
      <c r="Z23" s="621">
        <f t="shared" ref="Z23:Z78" si="17">(((G23)+(O23))+(V23))+(Y23)</f>
        <v>0</v>
      </c>
    </row>
    <row r="24" spans="1:26">
      <c r="A24" s="478" cm="1">
        <f t="array" ref="A24">INDEX('Master Mapping'!O:O, MATCH(TRUE, EXACT(TEXT(LEFT(TRIM(B24), 7), "@"), 'Master Mapping'!A:A), 0))</f>
        <v>13</v>
      </c>
      <c r="B24" s="619" t="s">
        <v>456</v>
      </c>
      <c r="C24" s="623"/>
      <c r="D24" s="623"/>
      <c r="E24" s="623"/>
      <c r="F24" s="623"/>
      <c r="G24" s="624">
        <f t="shared" si="5"/>
        <v>0</v>
      </c>
      <c r="H24" s="620"/>
      <c r="I24" s="620"/>
      <c r="J24" s="620"/>
      <c r="K24" s="620"/>
      <c r="L24" s="620"/>
      <c r="M24" s="620"/>
      <c r="N24" s="620"/>
      <c r="O24" s="621">
        <f t="shared" si="14"/>
        <v>0</v>
      </c>
      <c r="P24" s="620"/>
      <c r="Q24" s="620"/>
      <c r="R24" s="620"/>
      <c r="S24" s="620"/>
      <c r="T24" s="620"/>
      <c r="U24" s="620"/>
      <c r="V24" s="621">
        <f t="shared" si="15"/>
        <v>0</v>
      </c>
      <c r="W24" s="620"/>
      <c r="X24" s="620"/>
      <c r="Y24" s="621">
        <f t="shared" si="16"/>
        <v>0</v>
      </c>
      <c r="Z24" s="621">
        <f t="shared" si="17"/>
        <v>0</v>
      </c>
    </row>
    <row r="25" spans="1:26">
      <c r="A25" s="478" cm="1">
        <f t="array" ref="A25">INDEX('Master Mapping'!O:O, MATCH(TRUE, EXACT(TEXT(LEFT(TRIM(B25), 7), "@"), 'Master Mapping'!A:A), 0))</f>
        <v>16</v>
      </c>
      <c r="B25" s="619" t="s">
        <v>457</v>
      </c>
      <c r="C25" s="623"/>
      <c r="D25" s="623"/>
      <c r="E25" s="623"/>
      <c r="F25" s="623"/>
      <c r="G25" s="624">
        <f t="shared" si="5"/>
        <v>0</v>
      </c>
      <c r="H25" s="620"/>
      <c r="I25" s="620"/>
      <c r="J25" s="620"/>
      <c r="K25" s="620"/>
      <c r="L25" s="620"/>
      <c r="M25" s="620"/>
      <c r="N25" s="620"/>
      <c r="O25" s="621">
        <f t="shared" si="14"/>
        <v>0</v>
      </c>
      <c r="P25" s="620"/>
      <c r="Q25" s="620"/>
      <c r="R25" s="620"/>
      <c r="S25" s="620"/>
      <c r="T25" s="620"/>
      <c r="U25" s="620"/>
      <c r="V25" s="621">
        <f t="shared" si="15"/>
        <v>0</v>
      </c>
      <c r="W25" s="620"/>
      <c r="X25" s="620"/>
      <c r="Y25" s="621">
        <f t="shared" si="16"/>
        <v>0</v>
      </c>
      <c r="Z25" s="621">
        <f t="shared" si="17"/>
        <v>0</v>
      </c>
    </row>
    <row r="26" spans="1:26">
      <c r="A26" s="478" cm="1">
        <f t="array" ref="A26">INDEX('Master Mapping'!O:O, MATCH(TRUE, EXACT(TEXT(LEFT(TRIM(B26), 7), "@"), 'Master Mapping'!A:A), 0))</f>
        <v>16</v>
      </c>
      <c r="B26" s="619" t="s">
        <v>458</v>
      </c>
      <c r="C26" s="623"/>
      <c r="D26" s="623"/>
      <c r="E26" s="623"/>
      <c r="F26" s="623"/>
      <c r="G26" s="624">
        <f t="shared" si="5"/>
        <v>0</v>
      </c>
      <c r="H26" s="620"/>
      <c r="I26" s="620"/>
      <c r="J26" s="620"/>
      <c r="K26" s="620"/>
      <c r="L26" s="620"/>
      <c r="M26" s="620"/>
      <c r="N26" s="620"/>
      <c r="O26" s="621">
        <f t="shared" si="14"/>
        <v>0</v>
      </c>
      <c r="P26" s="620"/>
      <c r="Q26" s="620"/>
      <c r="R26" s="620"/>
      <c r="S26" s="620"/>
      <c r="T26" s="620"/>
      <c r="U26" s="620"/>
      <c r="V26" s="621">
        <f t="shared" si="15"/>
        <v>0</v>
      </c>
      <c r="W26" s="620"/>
      <c r="X26" s="620"/>
      <c r="Y26" s="621">
        <f t="shared" si="16"/>
        <v>0</v>
      </c>
      <c r="Z26" s="621">
        <f t="shared" si="17"/>
        <v>0</v>
      </c>
    </row>
    <row r="27" spans="1:26">
      <c r="A27" s="478" cm="1">
        <f t="array" ref="A27">INDEX('Master Mapping'!O:O, MATCH(TRUE, EXACT(TEXT(LEFT(TRIM(B27), 7), "@"), 'Master Mapping'!A:A), 0))</f>
        <v>16</v>
      </c>
      <c r="B27" s="619" t="s">
        <v>459</v>
      </c>
      <c r="C27" s="623"/>
      <c r="D27" s="623"/>
      <c r="E27" s="623"/>
      <c r="F27" s="623"/>
      <c r="G27" s="624">
        <f t="shared" si="5"/>
        <v>0</v>
      </c>
      <c r="H27" s="620"/>
      <c r="I27" s="620"/>
      <c r="J27" s="620"/>
      <c r="K27" s="620"/>
      <c r="L27" s="620"/>
      <c r="M27" s="620"/>
      <c r="N27" s="620"/>
      <c r="O27" s="621">
        <f t="shared" si="14"/>
        <v>0</v>
      </c>
      <c r="P27" s="620"/>
      <c r="Q27" s="621">
        <f>12758.91</f>
        <v>12758.91</v>
      </c>
      <c r="R27" s="620"/>
      <c r="S27" s="620"/>
      <c r="T27" s="620"/>
      <c r="U27" s="620"/>
      <c r="V27" s="621">
        <f t="shared" si="15"/>
        <v>12758.91</v>
      </c>
      <c r="W27" s="620"/>
      <c r="X27" s="620"/>
      <c r="Y27" s="621">
        <f t="shared" si="16"/>
        <v>0</v>
      </c>
      <c r="Z27" s="621">
        <f t="shared" si="17"/>
        <v>12758.91</v>
      </c>
    </row>
    <row r="28" spans="1:26">
      <c r="A28" s="478" cm="1">
        <f t="array" ref="A28">INDEX('Master Mapping'!O:O, MATCH(TRUE, EXACT(TEXT(LEFT(TRIM(B28), 7), "@"), 'Master Mapping'!A:A), 0))</f>
        <v>7</v>
      </c>
      <c r="B28" s="619" t="s">
        <v>583</v>
      </c>
      <c r="C28" s="623"/>
      <c r="D28" s="623"/>
      <c r="E28" s="623"/>
      <c r="F28" s="623"/>
      <c r="G28" s="624">
        <f t="shared" si="5"/>
        <v>0</v>
      </c>
      <c r="H28" s="620"/>
      <c r="I28" s="620"/>
      <c r="J28" s="620"/>
      <c r="K28" s="620"/>
      <c r="L28" s="620"/>
      <c r="M28" s="620"/>
      <c r="N28" s="620"/>
      <c r="O28" s="621">
        <f t="shared" si="14"/>
        <v>0</v>
      </c>
      <c r="P28" s="620"/>
      <c r="Q28" s="620"/>
      <c r="R28" s="620"/>
      <c r="S28" s="621">
        <f>13582.92</f>
        <v>13582.92</v>
      </c>
      <c r="T28" s="621">
        <f>800</f>
        <v>800</v>
      </c>
      <c r="U28" s="620"/>
      <c r="V28" s="621">
        <f t="shared" si="15"/>
        <v>14382.92</v>
      </c>
      <c r="W28" s="620"/>
      <c r="X28" s="620"/>
      <c r="Y28" s="621">
        <f t="shared" si="16"/>
        <v>0</v>
      </c>
      <c r="Z28" s="621">
        <f t="shared" si="17"/>
        <v>14382.92</v>
      </c>
    </row>
    <row r="29" spans="1:26">
      <c r="A29" s="478" cm="1">
        <f t="array" ref="A29">INDEX('Master Mapping'!O:O, MATCH(TRUE, EXACT(TEXT(LEFT(TRIM(B29), 7), "@"), 'Master Mapping'!A:A), 0))</f>
        <v>7</v>
      </c>
      <c r="B29" s="619" t="s">
        <v>460</v>
      </c>
      <c r="C29" s="623"/>
      <c r="D29" s="623"/>
      <c r="E29" s="623"/>
      <c r="F29" s="623"/>
      <c r="G29" s="624">
        <f t="shared" si="5"/>
        <v>0</v>
      </c>
      <c r="H29" s="620"/>
      <c r="I29" s="621">
        <f>45770.09</f>
        <v>45770.09</v>
      </c>
      <c r="J29" s="620"/>
      <c r="K29" s="620"/>
      <c r="L29" s="620"/>
      <c r="M29" s="620"/>
      <c r="N29" s="621">
        <f>1895</f>
        <v>1895</v>
      </c>
      <c r="O29" s="621">
        <f t="shared" si="14"/>
        <v>47665.09</v>
      </c>
      <c r="P29" s="620"/>
      <c r="Q29" s="621">
        <f>15449.1</f>
        <v>15449.1</v>
      </c>
      <c r="R29" s="621">
        <f>2955.45</f>
        <v>2955.45</v>
      </c>
      <c r="S29" s="621">
        <f>106953.37</f>
        <v>106953.37</v>
      </c>
      <c r="T29" s="621">
        <f>8800</f>
        <v>8800</v>
      </c>
      <c r="U29" s="621">
        <f>6584.74</f>
        <v>6584.74</v>
      </c>
      <c r="V29" s="621">
        <f t="shared" si="15"/>
        <v>140742.65999999997</v>
      </c>
      <c r="W29" s="620"/>
      <c r="X29" s="620"/>
      <c r="Y29" s="621">
        <f t="shared" si="16"/>
        <v>0</v>
      </c>
      <c r="Z29" s="621">
        <f t="shared" si="17"/>
        <v>188407.74999999997</v>
      </c>
    </row>
    <row r="30" spans="1:26">
      <c r="A30" s="478" cm="1">
        <f t="array" ref="A30">INDEX('Master Mapping'!O:O, MATCH(TRUE, EXACT(TEXT(LEFT(TRIM(B30), 7), "@"), 'Master Mapping'!A:A), 0))</f>
        <v>8</v>
      </c>
      <c r="B30" s="619" t="s">
        <v>461</v>
      </c>
      <c r="C30" s="623"/>
      <c r="D30" s="623"/>
      <c r="E30" s="623"/>
      <c r="F30" s="623"/>
      <c r="G30" s="624">
        <f t="shared" si="5"/>
        <v>0</v>
      </c>
      <c r="H30" s="620"/>
      <c r="I30" s="620"/>
      <c r="J30" s="620"/>
      <c r="K30" s="620"/>
      <c r="L30" s="620"/>
      <c r="M30" s="621">
        <f>17029.66</f>
        <v>17029.66</v>
      </c>
      <c r="N30" s="620"/>
      <c r="O30" s="621">
        <f t="shared" si="14"/>
        <v>17029.66</v>
      </c>
      <c r="P30" s="620"/>
      <c r="Q30" s="621">
        <f>9499.98</f>
        <v>9499.98</v>
      </c>
      <c r="R30" s="621">
        <f>11673.01</f>
        <v>11673.01</v>
      </c>
      <c r="S30" s="620"/>
      <c r="T30" s="620"/>
      <c r="U30" s="620"/>
      <c r="V30" s="621">
        <f t="shared" si="15"/>
        <v>21172.989999999998</v>
      </c>
      <c r="W30" s="620"/>
      <c r="X30" s="620"/>
      <c r="Y30" s="621">
        <f t="shared" si="16"/>
        <v>0</v>
      </c>
      <c r="Z30" s="621">
        <f t="shared" si="17"/>
        <v>38202.649999999994</v>
      </c>
    </row>
    <row r="31" spans="1:26">
      <c r="A31" s="478" cm="1">
        <f t="array" ref="A31">INDEX('Master Mapping'!O:O, MATCH(TRUE, EXACT(TEXT(LEFT(TRIM(B31), 7), "@"), 'Master Mapping'!A:A), 0))</f>
        <v>11</v>
      </c>
      <c r="B31" s="619" t="s">
        <v>584</v>
      </c>
      <c r="C31" s="623"/>
      <c r="D31" s="623"/>
      <c r="E31" s="623"/>
      <c r="F31" s="623"/>
      <c r="G31" s="624">
        <f t="shared" si="5"/>
        <v>0</v>
      </c>
      <c r="H31" s="620"/>
      <c r="I31" s="620"/>
      <c r="J31" s="620"/>
      <c r="K31" s="620"/>
      <c r="L31" s="620"/>
      <c r="M31" s="620"/>
      <c r="N31" s="620"/>
      <c r="O31" s="621">
        <f t="shared" si="14"/>
        <v>0</v>
      </c>
      <c r="P31" s="620"/>
      <c r="Q31" s="620"/>
      <c r="R31" s="620"/>
      <c r="S31" s="620"/>
      <c r="T31" s="621">
        <f>800</f>
        <v>800</v>
      </c>
      <c r="U31" s="620"/>
      <c r="V31" s="621">
        <f t="shared" si="15"/>
        <v>800</v>
      </c>
      <c r="W31" s="620"/>
      <c r="X31" s="620"/>
      <c r="Y31" s="621">
        <f t="shared" si="16"/>
        <v>0</v>
      </c>
      <c r="Z31" s="621">
        <f t="shared" si="17"/>
        <v>800</v>
      </c>
    </row>
    <row r="32" spans="1:26">
      <c r="A32" s="478" cm="1">
        <f t="array" ref="A32">INDEX('Master Mapping'!O:O, MATCH(TRUE, EXACT(TEXT(LEFT(TRIM(B32), 7), "@"), 'Master Mapping'!A:A), 0))</f>
        <v>13</v>
      </c>
      <c r="B32" s="619" t="s">
        <v>462</v>
      </c>
      <c r="C32" s="623"/>
      <c r="D32" s="623"/>
      <c r="E32" s="623"/>
      <c r="F32" s="623"/>
      <c r="G32" s="624">
        <f t="shared" si="5"/>
        <v>0</v>
      </c>
      <c r="H32" s="620"/>
      <c r="I32" s="620"/>
      <c r="J32" s="620"/>
      <c r="K32" s="620"/>
      <c r="L32" s="620"/>
      <c r="M32" s="620"/>
      <c r="N32" s="620"/>
      <c r="O32" s="621">
        <f t="shared" si="14"/>
        <v>0</v>
      </c>
      <c r="P32" s="620"/>
      <c r="Q32" s="620"/>
      <c r="R32" s="620"/>
      <c r="S32" s="620"/>
      <c r="T32" s="621">
        <f>800</f>
        <v>800</v>
      </c>
      <c r="U32" s="620"/>
      <c r="V32" s="621">
        <f t="shared" si="15"/>
        <v>800</v>
      </c>
      <c r="W32" s="620"/>
      <c r="X32" s="620"/>
      <c r="Y32" s="621">
        <f t="shared" si="16"/>
        <v>0</v>
      </c>
      <c r="Z32" s="621">
        <f t="shared" si="17"/>
        <v>800</v>
      </c>
    </row>
    <row r="33" spans="1:26">
      <c r="A33" s="478" cm="1">
        <f t="array" ref="A33">INDEX('Master Mapping'!O:O, MATCH(TRUE, EXACT(TEXT(LEFT(TRIM(B33), 7), "@"), 'Master Mapping'!A:A), 0))</f>
        <v>14</v>
      </c>
      <c r="B33" s="619" t="s">
        <v>463</v>
      </c>
      <c r="C33" s="623"/>
      <c r="D33" s="623"/>
      <c r="E33" s="623"/>
      <c r="F33" s="623"/>
      <c r="G33" s="624">
        <f t="shared" si="5"/>
        <v>0</v>
      </c>
      <c r="H33" s="620"/>
      <c r="I33" s="621">
        <f>13194.91</f>
        <v>13194.91</v>
      </c>
      <c r="J33" s="620"/>
      <c r="K33" s="620"/>
      <c r="L33" s="620"/>
      <c r="M33" s="620"/>
      <c r="N33" s="620"/>
      <c r="O33" s="621">
        <f t="shared" si="14"/>
        <v>13194.91</v>
      </c>
      <c r="P33" s="620"/>
      <c r="Q33" s="620"/>
      <c r="R33" s="621">
        <f>2633.03</f>
        <v>2633.03</v>
      </c>
      <c r="S33" s="620"/>
      <c r="T33" s="620"/>
      <c r="U33" s="620"/>
      <c r="V33" s="621">
        <f t="shared" si="15"/>
        <v>2633.03</v>
      </c>
      <c r="W33" s="620"/>
      <c r="X33" s="620"/>
      <c r="Y33" s="621">
        <f t="shared" si="16"/>
        <v>0</v>
      </c>
      <c r="Z33" s="621">
        <f t="shared" si="17"/>
        <v>15827.94</v>
      </c>
    </row>
    <row r="34" spans="1:26">
      <c r="A34" s="478" cm="1">
        <f t="array" ref="A34">INDEX('Master Mapping'!O:O, MATCH(TRUE, EXACT(TEXT(LEFT(TRIM(B34), 7), "@"), 'Master Mapping'!A:A), 0))</f>
        <v>7</v>
      </c>
      <c r="B34" s="619" t="s">
        <v>585</v>
      </c>
      <c r="C34" s="623"/>
      <c r="D34" s="623"/>
      <c r="E34" s="623"/>
      <c r="F34" s="623"/>
      <c r="G34" s="624">
        <f t="shared" si="5"/>
        <v>0</v>
      </c>
      <c r="H34" s="620"/>
      <c r="I34" s="620"/>
      <c r="J34" s="620"/>
      <c r="K34" s="620"/>
      <c r="L34" s="620"/>
      <c r="M34" s="620"/>
      <c r="N34" s="620"/>
      <c r="O34" s="621">
        <f t="shared" si="14"/>
        <v>0</v>
      </c>
      <c r="P34" s="620"/>
      <c r="Q34" s="620"/>
      <c r="R34" s="620"/>
      <c r="S34" s="621">
        <f>12851.3</f>
        <v>12851.3</v>
      </c>
      <c r="T34" s="621">
        <f>723</f>
        <v>723</v>
      </c>
      <c r="U34" s="620"/>
      <c r="V34" s="621">
        <f t="shared" si="15"/>
        <v>13574.3</v>
      </c>
      <c r="W34" s="620"/>
      <c r="X34" s="620"/>
      <c r="Y34" s="621">
        <f t="shared" si="16"/>
        <v>0</v>
      </c>
      <c r="Z34" s="621">
        <f t="shared" si="17"/>
        <v>13574.3</v>
      </c>
    </row>
    <row r="35" spans="1:26">
      <c r="A35" s="478" cm="1">
        <f t="array" ref="A35">INDEX('Master Mapping'!O:O, MATCH(TRUE, EXACT(TEXT(LEFT(TRIM(B35), 7), "@"), 'Master Mapping'!A:A), 0))</f>
        <v>18</v>
      </c>
      <c r="B35" s="619" t="s">
        <v>465</v>
      </c>
      <c r="C35" s="623"/>
      <c r="D35" s="623"/>
      <c r="E35" s="623"/>
      <c r="F35" s="623"/>
      <c r="G35" s="624">
        <f t="shared" si="5"/>
        <v>0</v>
      </c>
      <c r="H35" s="620"/>
      <c r="I35" s="620"/>
      <c r="J35" s="620"/>
      <c r="K35" s="620"/>
      <c r="L35" s="620"/>
      <c r="M35" s="620"/>
      <c r="N35" s="620"/>
      <c r="O35" s="621">
        <f t="shared" si="14"/>
        <v>0</v>
      </c>
      <c r="P35" s="620"/>
      <c r="Q35" s="620"/>
      <c r="R35" s="620"/>
      <c r="S35" s="620"/>
      <c r="T35" s="620"/>
      <c r="U35" s="620"/>
      <c r="V35" s="621">
        <f t="shared" si="15"/>
        <v>0</v>
      </c>
      <c r="W35" s="620"/>
      <c r="X35" s="620"/>
      <c r="Y35" s="621">
        <f t="shared" si="16"/>
        <v>0</v>
      </c>
      <c r="Z35" s="621">
        <f t="shared" si="17"/>
        <v>0</v>
      </c>
    </row>
    <row r="36" spans="1:26">
      <c r="A36" s="478" t="e" cm="1">
        <f t="array" ref="A36">INDEX('Master Mapping'!O:O, MATCH(TRUE, EXACT(TEXT(LEFT(TRIM(B36), 7), "@"), 'Master Mapping'!A:A), 0))</f>
        <v>#N/A</v>
      </c>
      <c r="B36" s="619" t="s">
        <v>466</v>
      </c>
      <c r="C36" s="623"/>
      <c r="D36" s="623"/>
      <c r="E36" s="623"/>
      <c r="F36" s="623"/>
      <c r="G36" s="624">
        <f t="shared" si="5"/>
        <v>0</v>
      </c>
      <c r="H36" s="622">
        <f t="shared" ref="H36:N36" si="18">((((((((((((H23)+(H24))+(H25))+(H26))+(H27))+(H28))+(H29))+(H30))+(H31))+(H32))+(H33))+(H34))+(H35)</f>
        <v>0</v>
      </c>
      <c r="I36" s="622">
        <f t="shared" si="18"/>
        <v>58965</v>
      </c>
      <c r="J36" s="622">
        <f t="shared" si="18"/>
        <v>0</v>
      </c>
      <c r="K36" s="622">
        <f t="shared" si="18"/>
        <v>0</v>
      </c>
      <c r="L36" s="622">
        <f t="shared" si="18"/>
        <v>0</v>
      </c>
      <c r="M36" s="622">
        <f t="shared" si="18"/>
        <v>17029.66</v>
      </c>
      <c r="N36" s="622">
        <f t="shared" si="18"/>
        <v>1895</v>
      </c>
      <c r="O36" s="622">
        <f t="shared" si="14"/>
        <v>77889.66</v>
      </c>
      <c r="P36" s="622">
        <f t="shared" ref="P36:U36" si="19">((((((((((((P23)+(P24))+(P25))+(P26))+(P27))+(P28))+(P29))+(P30))+(P31))+(P32))+(P33))+(P34))+(P35)</f>
        <v>0</v>
      </c>
      <c r="Q36" s="622">
        <f t="shared" si="19"/>
        <v>37707.990000000005</v>
      </c>
      <c r="R36" s="622">
        <f t="shared" si="19"/>
        <v>17261.489999999998</v>
      </c>
      <c r="S36" s="622">
        <f t="shared" si="19"/>
        <v>133387.59</v>
      </c>
      <c r="T36" s="622">
        <f t="shared" si="19"/>
        <v>11923</v>
      </c>
      <c r="U36" s="622">
        <f t="shared" si="19"/>
        <v>6584.74</v>
      </c>
      <c r="V36" s="622">
        <f t="shared" si="15"/>
        <v>206864.81</v>
      </c>
      <c r="W36" s="622">
        <f>((((((((((((W23)+(W24))+(W25))+(W26))+(W27))+(W28))+(W29))+(W30))+(W31))+(W32))+(W33))+(W34))+(W35)</f>
        <v>0</v>
      </c>
      <c r="X36" s="622">
        <f>((((((((((((X23)+(X24))+(X25))+(X26))+(X27))+(X28))+(X29))+(X30))+(X31))+(X32))+(X33))+(X34))+(X35)</f>
        <v>0</v>
      </c>
      <c r="Y36" s="622">
        <f t="shared" si="16"/>
        <v>0</v>
      </c>
      <c r="Z36" s="622">
        <f t="shared" si="17"/>
        <v>284754.46999999997</v>
      </c>
    </row>
    <row r="37" spans="1:26">
      <c r="A37" s="478" t="e" cm="1">
        <f t="array" ref="A37">INDEX('Master Mapping'!O:O, MATCH(TRUE, EXACT(TEXT(LEFT(TRIM(B37), 7), "@"), 'Master Mapping'!A:A), 0))</f>
        <v>#N/A</v>
      </c>
      <c r="B37" s="619" t="s">
        <v>467</v>
      </c>
      <c r="C37" s="623"/>
      <c r="D37" s="623"/>
      <c r="E37" s="623"/>
      <c r="F37" s="623"/>
      <c r="G37" s="624">
        <f t="shared" si="5"/>
        <v>0</v>
      </c>
      <c r="H37" s="620"/>
      <c r="I37" s="620"/>
      <c r="J37" s="620"/>
      <c r="K37" s="620"/>
      <c r="L37" s="620"/>
      <c r="M37" s="620"/>
      <c r="N37" s="620"/>
      <c r="O37" s="621">
        <f t="shared" si="14"/>
        <v>0</v>
      </c>
      <c r="P37" s="620"/>
      <c r="Q37" s="620"/>
      <c r="R37" s="620"/>
      <c r="S37" s="620"/>
      <c r="T37" s="620"/>
      <c r="U37" s="620"/>
      <c r="V37" s="621">
        <f t="shared" si="15"/>
        <v>0</v>
      </c>
      <c r="W37" s="620"/>
      <c r="X37" s="620"/>
      <c r="Y37" s="621">
        <f t="shared" si="16"/>
        <v>0</v>
      </c>
      <c r="Z37" s="621">
        <f t="shared" si="17"/>
        <v>0</v>
      </c>
    </row>
    <row r="38" spans="1:26">
      <c r="A38" s="478" t="e" cm="1">
        <f t="array" ref="A38">INDEX('Master Mapping'!O:O, MATCH(TRUE, EXACT(TEXT(LEFT(TRIM(B38), 7), "@"), 'Master Mapping'!A:A), 0))</f>
        <v>#N/A</v>
      </c>
      <c r="B38" s="619" t="s">
        <v>468</v>
      </c>
      <c r="C38" s="623"/>
      <c r="D38" s="623"/>
      <c r="E38" s="623"/>
      <c r="F38" s="623"/>
      <c r="G38" s="624">
        <f t="shared" si="5"/>
        <v>0</v>
      </c>
      <c r="H38" s="620"/>
      <c r="I38" s="620"/>
      <c r="J38" s="620"/>
      <c r="K38" s="620"/>
      <c r="L38" s="620"/>
      <c r="M38" s="620"/>
      <c r="N38" s="620"/>
      <c r="O38" s="621">
        <f t="shared" si="14"/>
        <v>0</v>
      </c>
      <c r="P38" s="620"/>
      <c r="Q38" s="620"/>
      <c r="R38" s="620"/>
      <c r="S38" s="620"/>
      <c r="T38" s="620"/>
      <c r="U38" s="620"/>
      <c r="V38" s="621">
        <f t="shared" si="15"/>
        <v>0</v>
      </c>
      <c r="W38" s="620"/>
      <c r="X38" s="620"/>
      <c r="Y38" s="621">
        <f t="shared" si="16"/>
        <v>0</v>
      </c>
      <c r="Z38" s="621">
        <f t="shared" si="17"/>
        <v>0</v>
      </c>
    </row>
    <row r="39" spans="1:26">
      <c r="A39" s="478" cm="1">
        <f t="array" ref="A39">INDEX('Master Mapping'!O:O, MATCH(TRUE, EXACT(TEXT(LEFT(TRIM(B39), 7), "@"), 'Master Mapping'!A:A), 0))</f>
        <v>7</v>
      </c>
      <c r="B39" s="619" t="s">
        <v>469</v>
      </c>
      <c r="C39" s="623"/>
      <c r="D39" s="623"/>
      <c r="E39" s="623"/>
      <c r="F39" s="623"/>
      <c r="G39" s="624">
        <f t="shared" si="5"/>
        <v>0</v>
      </c>
      <c r="H39" s="620"/>
      <c r="I39" s="621">
        <f>2271.66</f>
        <v>2271.66</v>
      </c>
      <c r="J39" s="620"/>
      <c r="K39" s="620"/>
      <c r="L39" s="620"/>
      <c r="M39" s="620"/>
      <c r="N39" s="620"/>
      <c r="O39" s="621">
        <f t="shared" si="14"/>
        <v>2271.66</v>
      </c>
      <c r="P39" s="620"/>
      <c r="Q39" s="620"/>
      <c r="R39" s="620"/>
      <c r="S39" s="621">
        <f>17430.93</f>
        <v>17430.93</v>
      </c>
      <c r="T39" s="620"/>
      <c r="U39" s="620"/>
      <c r="V39" s="621">
        <f t="shared" si="15"/>
        <v>17430.93</v>
      </c>
      <c r="W39" s="620"/>
      <c r="X39" s="620"/>
      <c r="Y39" s="621">
        <f t="shared" si="16"/>
        <v>0</v>
      </c>
      <c r="Z39" s="621">
        <f t="shared" si="17"/>
        <v>19702.59</v>
      </c>
    </row>
    <row r="40" spans="1:26">
      <c r="A40" s="478" cm="1">
        <f t="array" ref="A40">INDEX('Master Mapping'!O:O, MATCH(TRUE, EXACT(TEXT(LEFT(TRIM(B40), 7), "@"), 'Master Mapping'!A:A), 0))</f>
        <v>14</v>
      </c>
      <c r="B40" s="619" t="s">
        <v>473</v>
      </c>
      <c r="C40" s="623"/>
      <c r="D40" s="623"/>
      <c r="E40" s="623"/>
      <c r="F40" s="623"/>
      <c r="G40" s="624">
        <f t="shared" si="5"/>
        <v>0</v>
      </c>
      <c r="H40" s="620"/>
      <c r="I40" s="621">
        <f>2552.58</f>
        <v>2552.58</v>
      </c>
      <c r="J40" s="620"/>
      <c r="K40" s="620"/>
      <c r="L40" s="620"/>
      <c r="M40" s="620"/>
      <c r="N40" s="620"/>
      <c r="O40" s="621">
        <f t="shared" si="14"/>
        <v>2552.58</v>
      </c>
      <c r="P40" s="620"/>
      <c r="Q40" s="620"/>
      <c r="R40" s="620"/>
      <c r="S40" s="620"/>
      <c r="T40" s="620"/>
      <c r="U40" s="620"/>
      <c r="V40" s="621">
        <f t="shared" si="15"/>
        <v>0</v>
      </c>
      <c r="W40" s="620"/>
      <c r="X40" s="620"/>
      <c r="Y40" s="621">
        <f t="shared" si="16"/>
        <v>0</v>
      </c>
      <c r="Z40" s="621">
        <f t="shared" si="17"/>
        <v>2552.58</v>
      </c>
    </row>
    <row r="41" spans="1:26">
      <c r="A41" s="478" t="e" cm="1">
        <f t="array" ref="A41">INDEX('Master Mapping'!O:O, MATCH(TRUE, EXACT(TEXT(LEFT(TRIM(B41), 7), "@"), 'Master Mapping'!A:A), 0))</f>
        <v>#N/A</v>
      </c>
      <c r="B41" s="619" t="s">
        <v>476</v>
      </c>
      <c r="C41" s="623"/>
      <c r="D41" s="623"/>
      <c r="E41" s="623"/>
      <c r="F41" s="623"/>
      <c r="G41" s="624">
        <f t="shared" si="5"/>
        <v>0</v>
      </c>
      <c r="H41" s="622">
        <f t="shared" ref="H41:N41" si="20">((H38)+(H39))+(H40)</f>
        <v>0</v>
      </c>
      <c r="I41" s="622">
        <f t="shared" si="20"/>
        <v>4824.24</v>
      </c>
      <c r="J41" s="622">
        <f t="shared" si="20"/>
        <v>0</v>
      </c>
      <c r="K41" s="622">
        <f t="shared" si="20"/>
        <v>0</v>
      </c>
      <c r="L41" s="622">
        <f t="shared" si="20"/>
        <v>0</v>
      </c>
      <c r="M41" s="622">
        <f t="shared" si="20"/>
        <v>0</v>
      </c>
      <c r="N41" s="622">
        <f t="shared" si="20"/>
        <v>0</v>
      </c>
      <c r="O41" s="622">
        <f t="shared" si="14"/>
        <v>4824.24</v>
      </c>
      <c r="P41" s="622">
        <f t="shared" ref="P41:U41" si="21">((P38)+(P39))+(P40)</f>
        <v>0</v>
      </c>
      <c r="Q41" s="622">
        <f t="shared" si="21"/>
        <v>0</v>
      </c>
      <c r="R41" s="622">
        <f t="shared" si="21"/>
        <v>0</v>
      </c>
      <c r="S41" s="622">
        <f t="shared" si="21"/>
        <v>17430.93</v>
      </c>
      <c r="T41" s="622">
        <f t="shared" si="21"/>
        <v>0</v>
      </c>
      <c r="U41" s="622">
        <f t="shared" si="21"/>
        <v>0</v>
      </c>
      <c r="V41" s="622">
        <f t="shared" si="15"/>
        <v>17430.93</v>
      </c>
      <c r="W41" s="622">
        <f>((W38)+(W39))+(W40)</f>
        <v>0</v>
      </c>
      <c r="X41" s="622">
        <f>((X38)+(X39))+(X40)</f>
        <v>0</v>
      </c>
      <c r="Y41" s="622">
        <f t="shared" si="16"/>
        <v>0</v>
      </c>
      <c r="Z41" s="622">
        <f t="shared" si="17"/>
        <v>22255.17</v>
      </c>
    </row>
    <row r="42" spans="1:26">
      <c r="A42" s="478" t="e" cm="1">
        <f t="array" ref="A42">INDEX('Master Mapping'!O:O, MATCH(TRUE, EXACT(TEXT(LEFT(TRIM(B42), 7), "@"), 'Master Mapping'!A:A), 0))</f>
        <v>#N/A</v>
      </c>
      <c r="B42" s="619" t="s">
        <v>477</v>
      </c>
      <c r="C42" s="623"/>
      <c r="D42" s="623"/>
      <c r="E42" s="623"/>
      <c r="F42" s="623"/>
      <c r="G42" s="624">
        <f t="shared" si="5"/>
        <v>0</v>
      </c>
      <c r="H42" s="620"/>
      <c r="I42" s="620"/>
      <c r="J42" s="620"/>
      <c r="K42" s="620"/>
      <c r="L42" s="620"/>
      <c r="M42" s="620"/>
      <c r="N42" s="620"/>
      <c r="O42" s="621">
        <f t="shared" si="14"/>
        <v>0</v>
      </c>
      <c r="P42" s="620"/>
      <c r="Q42" s="620"/>
      <c r="R42" s="620"/>
      <c r="S42" s="620"/>
      <c r="T42" s="620"/>
      <c r="U42" s="620"/>
      <c r="V42" s="621">
        <f t="shared" si="15"/>
        <v>0</v>
      </c>
      <c r="W42" s="620"/>
      <c r="X42" s="620"/>
      <c r="Y42" s="621">
        <f t="shared" si="16"/>
        <v>0</v>
      </c>
      <c r="Z42" s="621">
        <f t="shared" si="17"/>
        <v>0</v>
      </c>
    </row>
    <row r="43" spans="1:26">
      <c r="A43" s="478" cm="1">
        <f t="array" ref="A43">INDEX('Master Mapping'!O:O, MATCH(TRUE, EXACT(TEXT(LEFT(TRIM(B43), 7), "@"), 'Master Mapping'!A:A), 0))</f>
        <v>7</v>
      </c>
      <c r="B43" s="619" t="s">
        <v>478</v>
      </c>
      <c r="C43" s="623"/>
      <c r="D43" s="623"/>
      <c r="E43" s="623"/>
      <c r="F43" s="623"/>
      <c r="G43" s="624">
        <f t="shared" si="5"/>
        <v>0</v>
      </c>
      <c r="H43" s="620"/>
      <c r="I43" s="621">
        <f>3006.95</f>
        <v>3006.95</v>
      </c>
      <c r="J43" s="620"/>
      <c r="K43" s="620"/>
      <c r="L43" s="620"/>
      <c r="M43" s="620"/>
      <c r="N43" s="620"/>
      <c r="O43" s="621">
        <f t="shared" si="14"/>
        <v>3006.95</v>
      </c>
      <c r="P43" s="620"/>
      <c r="Q43" s="620"/>
      <c r="R43" s="620"/>
      <c r="S43" s="621">
        <f>8443.1</f>
        <v>8443.1</v>
      </c>
      <c r="T43" s="620"/>
      <c r="U43" s="620"/>
      <c r="V43" s="621">
        <f t="shared" si="15"/>
        <v>8443.1</v>
      </c>
      <c r="W43" s="620"/>
      <c r="X43" s="620"/>
      <c r="Y43" s="621">
        <f t="shared" si="16"/>
        <v>0</v>
      </c>
      <c r="Z43" s="621">
        <f t="shared" si="17"/>
        <v>11450.05</v>
      </c>
    </row>
    <row r="44" spans="1:26">
      <c r="A44" s="478" cm="1">
        <f t="array" ref="A44">INDEX('Master Mapping'!O:O, MATCH(TRUE, EXACT(TEXT(LEFT(TRIM(B44), 7), "@"), 'Master Mapping'!A:A), 0))</f>
        <v>8</v>
      </c>
      <c r="B44" s="619" t="s">
        <v>479</v>
      </c>
      <c r="C44" s="623"/>
      <c r="D44" s="623"/>
      <c r="E44" s="623"/>
      <c r="F44" s="623"/>
      <c r="G44" s="624">
        <f t="shared" si="5"/>
        <v>0</v>
      </c>
      <c r="H44" s="620"/>
      <c r="I44" s="620"/>
      <c r="J44" s="620"/>
      <c r="K44" s="620"/>
      <c r="L44" s="620"/>
      <c r="M44" s="620"/>
      <c r="N44" s="620"/>
      <c r="O44" s="621">
        <f t="shared" si="14"/>
        <v>0</v>
      </c>
      <c r="P44" s="620"/>
      <c r="Q44" s="620"/>
      <c r="R44" s="620"/>
      <c r="S44" s="620"/>
      <c r="T44" s="620"/>
      <c r="U44" s="620"/>
      <c r="V44" s="621">
        <f t="shared" si="15"/>
        <v>0</v>
      </c>
      <c r="W44" s="620"/>
      <c r="X44" s="620"/>
      <c r="Y44" s="621">
        <f t="shared" si="16"/>
        <v>0</v>
      </c>
      <c r="Z44" s="621">
        <f t="shared" si="17"/>
        <v>0</v>
      </c>
    </row>
    <row r="45" spans="1:26">
      <c r="A45" s="478" cm="1">
        <f t="array" ref="A45">INDEX('Master Mapping'!O:O, MATCH(TRUE, EXACT(TEXT(LEFT(TRIM(B45), 7), "@"), 'Master Mapping'!A:A), 0))</f>
        <v>11</v>
      </c>
      <c r="B45" s="619" t="s">
        <v>587</v>
      </c>
      <c r="C45" s="623"/>
      <c r="D45" s="623"/>
      <c r="E45" s="623"/>
      <c r="F45" s="623"/>
      <c r="G45" s="624">
        <f t="shared" si="5"/>
        <v>0</v>
      </c>
      <c r="H45" s="620"/>
      <c r="I45" s="620"/>
      <c r="J45" s="620"/>
      <c r="K45" s="620"/>
      <c r="L45" s="620"/>
      <c r="M45" s="620"/>
      <c r="N45" s="620"/>
      <c r="O45" s="621">
        <f t="shared" si="14"/>
        <v>0</v>
      </c>
      <c r="P45" s="620"/>
      <c r="Q45" s="620"/>
      <c r="R45" s="620"/>
      <c r="S45" s="620"/>
      <c r="T45" s="620"/>
      <c r="U45" s="620"/>
      <c r="V45" s="621">
        <f t="shared" si="15"/>
        <v>0</v>
      </c>
      <c r="W45" s="620"/>
      <c r="X45" s="620"/>
      <c r="Y45" s="621">
        <f t="shared" si="16"/>
        <v>0</v>
      </c>
      <c r="Z45" s="621">
        <f t="shared" si="17"/>
        <v>0</v>
      </c>
    </row>
    <row r="46" spans="1:26">
      <c r="A46" s="478" cm="1">
        <f t="array" ref="A46">INDEX('Master Mapping'!O:O, MATCH(TRUE, EXACT(TEXT(LEFT(TRIM(B46), 7), "@"), 'Master Mapping'!A:A), 0))</f>
        <v>13</v>
      </c>
      <c r="B46" s="619" t="s">
        <v>480</v>
      </c>
      <c r="C46" s="623"/>
      <c r="D46" s="623"/>
      <c r="E46" s="623"/>
      <c r="F46" s="623"/>
      <c r="G46" s="624">
        <f t="shared" si="5"/>
        <v>0</v>
      </c>
      <c r="H46" s="620"/>
      <c r="I46" s="620"/>
      <c r="J46" s="620"/>
      <c r="K46" s="620"/>
      <c r="L46" s="620"/>
      <c r="M46" s="620"/>
      <c r="N46" s="620"/>
      <c r="O46" s="621">
        <f t="shared" si="14"/>
        <v>0</v>
      </c>
      <c r="P46" s="620"/>
      <c r="Q46" s="620"/>
      <c r="R46" s="620"/>
      <c r="S46" s="620"/>
      <c r="T46" s="620"/>
      <c r="U46" s="620"/>
      <c r="V46" s="621">
        <f t="shared" si="15"/>
        <v>0</v>
      </c>
      <c r="W46" s="620"/>
      <c r="X46" s="620"/>
      <c r="Y46" s="621">
        <f t="shared" si="16"/>
        <v>0</v>
      </c>
      <c r="Z46" s="621">
        <f t="shared" si="17"/>
        <v>0</v>
      </c>
    </row>
    <row r="47" spans="1:26">
      <c r="A47" s="478" cm="1">
        <f t="array" ref="A47">INDEX('Master Mapping'!O:O, MATCH(TRUE, EXACT(TEXT(LEFT(TRIM(B47), 7), "@"), 'Master Mapping'!A:A), 0))</f>
        <v>13</v>
      </c>
      <c r="B47" s="619" t="s">
        <v>481</v>
      </c>
      <c r="C47" s="623"/>
      <c r="D47" s="623"/>
      <c r="E47" s="623"/>
      <c r="F47" s="623"/>
      <c r="G47" s="624">
        <f t="shared" si="5"/>
        <v>0</v>
      </c>
      <c r="H47" s="620"/>
      <c r="I47" s="620"/>
      <c r="J47" s="620"/>
      <c r="K47" s="620"/>
      <c r="L47" s="620"/>
      <c r="M47" s="620"/>
      <c r="N47" s="620"/>
      <c r="O47" s="621">
        <f t="shared" si="14"/>
        <v>0</v>
      </c>
      <c r="P47" s="620"/>
      <c r="Q47" s="620"/>
      <c r="R47" s="620"/>
      <c r="S47" s="620"/>
      <c r="T47" s="620"/>
      <c r="U47" s="620"/>
      <c r="V47" s="621">
        <f t="shared" si="15"/>
        <v>0</v>
      </c>
      <c r="W47" s="620"/>
      <c r="X47" s="620"/>
      <c r="Y47" s="621">
        <f t="shared" si="16"/>
        <v>0</v>
      </c>
      <c r="Z47" s="621">
        <f t="shared" si="17"/>
        <v>0</v>
      </c>
    </row>
    <row r="48" spans="1:26">
      <c r="A48" s="478" cm="1">
        <f t="array" ref="A48">INDEX('Master Mapping'!O:O, MATCH(TRUE, EXACT(TEXT(LEFT(TRIM(B48), 7), "@"), 'Master Mapping'!A:A), 0))</f>
        <v>14</v>
      </c>
      <c r="B48" s="619" t="s">
        <v>482</v>
      </c>
      <c r="C48" s="623"/>
      <c r="D48" s="623"/>
      <c r="E48" s="623"/>
      <c r="F48" s="623"/>
      <c r="G48" s="624">
        <f t="shared" si="5"/>
        <v>0</v>
      </c>
      <c r="H48" s="620"/>
      <c r="I48" s="621">
        <f>803.64</f>
        <v>803.64</v>
      </c>
      <c r="J48" s="620"/>
      <c r="K48" s="620"/>
      <c r="L48" s="620"/>
      <c r="M48" s="620"/>
      <c r="N48" s="620"/>
      <c r="O48" s="621">
        <f t="shared" si="14"/>
        <v>803.64</v>
      </c>
      <c r="P48" s="620"/>
      <c r="Q48" s="620"/>
      <c r="R48" s="620"/>
      <c r="S48" s="620"/>
      <c r="T48" s="620"/>
      <c r="U48" s="620"/>
      <c r="V48" s="621">
        <f t="shared" si="15"/>
        <v>0</v>
      </c>
      <c r="W48" s="620"/>
      <c r="X48" s="620"/>
      <c r="Y48" s="621">
        <f t="shared" si="16"/>
        <v>0</v>
      </c>
      <c r="Z48" s="621">
        <f t="shared" si="17"/>
        <v>803.64</v>
      </c>
    </row>
    <row r="49" spans="1:26">
      <c r="A49" s="478" cm="1">
        <f t="array" ref="A49">INDEX('Master Mapping'!O:O, MATCH(TRUE, EXACT(TEXT(LEFT(TRIM(B49), 7), "@"), 'Master Mapping'!A:A), 0))</f>
        <v>16</v>
      </c>
      <c r="B49" s="619" t="s">
        <v>483</v>
      </c>
      <c r="C49" s="623"/>
      <c r="D49" s="623"/>
      <c r="E49" s="623"/>
      <c r="F49" s="623"/>
      <c r="G49" s="624">
        <f t="shared" si="5"/>
        <v>0</v>
      </c>
      <c r="H49" s="620"/>
      <c r="I49" s="620"/>
      <c r="J49" s="620"/>
      <c r="K49" s="620"/>
      <c r="L49" s="620"/>
      <c r="M49" s="620"/>
      <c r="N49" s="620"/>
      <c r="O49" s="621">
        <f t="shared" si="14"/>
        <v>0</v>
      </c>
      <c r="P49" s="620"/>
      <c r="Q49" s="620"/>
      <c r="R49" s="620"/>
      <c r="S49" s="620"/>
      <c r="T49" s="620"/>
      <c r="U49" s="620"/>
      <c r="V49" s="621">
        <f t="shared" si="15"/>
        <v>0</v>
      </c>
      <c r="W49" s="620"/>
      <c r="X49" s="620"/>
      <c r="Y49" s="621">
        <f t="shared" si="16"/>
        <v>0</v>
      </c>
      <c r="Z49" s="621">
        <f t="shared" si="17"/>
        <v>0</v>
      </c>
    </row>
    <row r="50" spans="1:26">
      <c r="A50" s="478" cm="1">
        <f t="array" ref="A50">INDEX('Master Mapping'!O:O, MATCH(TRUE, EXACT(TEXT(LEFT(TRIM(B50), 7), "@"), 'Master Mapping'!A:A), 0))</f>
        <v>18</v>
      </c>
      <c r="B50" s="619" t="s">
        <v>484</v>
      </c>
      <c r="C50" s="623"/>
      <c r="D50" s="623"/>
      <c r="E50" s="623"/>
      <c r="F50" s="623"/>
      <c r="G50" s="624">
        <f t="shared" si="5"/>
        <v>0</v>
      </c>
      <c r="H50" s="620"/>
      <c r="I50" s="620"/>
      <c r="J50" s="620"/>
      <c r="K50" s="620"/>
      <c r="L50" s="620"/>
      <c r="M50" s="620"/>
      <c r="N50" s="620"/>
      <c r="O50" s="621">
        <f t="shared" si="14"/>
        <v>0</v>
      </c>
      <c r="P50" s="620"/>
      <c r="Q50" s="620"/>
      <c r="R50" s="620"/>
      <c r="S50" s="620"/>
      <c r="T50" s="620"/>
      <c r="U50" s="620"/>
      <c r="V50" s="621">
        <f t="shared" si="15"/>
        <v>0</v>
      </c>
      <c r="W50" s="620"/>
      <c r="X50" s="620"/>
      <c r="Y50" s="621">
        <f t="shared" si="16"/>
        <v>0</v>
      </c>
      <c r="Z50" s="621">
        <f t="shared" si="17"/>
        <v>0</v>
      </c>
    </row>
    <row r="51" spans="1:26">
      <c r="A51" s="478" t="e" cm="1">
        <f t="array" ref="A51">INDEX('Master Mapping'!O:O, MATCH(TRUE, EXACT(TEXT(LEFT(TRIM(B51), 7), "@"), 'Master Mapping'!A:A), 0))</f>
        <v>#N/A</v>
      </c>
      <c r="B51" s="619" t="s">
        <v>485</v>
      </c>
      <c r="C51" s="623"/>
      <c r="D51" s="623"/>
      <c r="E51" s="623"/>
      <c r="F51" s="623"/>
      <c r="G51" s="624">
        <f t="shared" si="5"/>
        <v>0</v>
      </c>
      <c r="H51" s="622">
        <f t="shared" ref="H51:N51" si="22">((((((((H42)+(H43))+(H44))+(H45))+(H46))+(H47))+(H48))+(H49))+(H50)</f>
        <v>0</v>
      </c>
      <c r="I51" s="622">
        <f t="shared" si="22"/>
        <v>3810.5899999999997</v>
      </c>
      <c r="J51" s="622">
        <f t="shared" si="22"/>
        <v>0</v>
      </c>
      <c r="K51" s="622">
        <f t="shared" si="22"/>
        <v>0</v>
      </c>
      <c r="L51" s="622">
        <f t="shared" si="22"/>
        <v>0</v>
      </c>
      <c r="M51" s="622">
        <f t="shared" si="22"/>
        <v>0</v>
      </c>
      <c r="N51" s="622">
        <f t="shared" si="22"/>
        <v>0</v>
      </c>
      <c r="O51" s="622">
        <f t="shared" si="14"/>
        <v>3810.5899999999997</v>
      </c>
      <c r="P51" s="622">
        <f t="shared" ref="P51:U51" si="23">((((((((P42)+(P43))+(P44))+(P45))+(P46))+(P47))+(P48))+(P49))+(P50)</f>
        <v>0</v>
      </c>
      <c r="Q51" s="622">
        <f t="shared" si="23"/>
        <v>0</v>
      </c>
      <c r="R51" s="622">
        <f t="shared" si="23"/>
        <v>0</v>
      </c>
      <c r="S51" s="622">
        <f t="shared" si="23"/>
        <v>8443.1</v>
      </c>
      <c r="T51" s="622">
        <f t="shared" si="23"/>
        <v>0</v>
      </c>
      <c r="U51" s="622">
        <f t="shared" si="23"/>
        <v>0</v>
      </c>
      <c r="V51" s="622">
        <f t="shared" si="15"/>
        <v>8443.1</v>
      </c>
      <c r="W51" s="622">
        <f>((((((((W42)+(W43))+(W44))+(W45))+(W46))+(W47))+(W48))+(W49))+(W50)</f>
        <v>0</v>
      </c>
      <c r="X51" s="622">
        <f>((((((((X42)+(X43))+(X44))+(X45))+(X46))+(X47))+(X48))+(X49))+(X50)</f>
        <v>0</v>
      </c>
      <c r="Y51" s="622">
        <f t="shared" si="16"/>
        <v>0</v>
      </c>
      <c r="Z51" s="622">
        <f t="shared" si="17"/>
        <v>12253.69</v>
      </c>
    </row>
    <row r="52" spans="1:26">
      <c r="A52" s="478" t="e" cm="1">
        <f t="array" ref="A52">INDEX('Master Mapping'!O:O, MATCH(TRUE, EXACT(TEXT(LEFT(TRIM(B52), 7), "@"), 'Master Mapping'!A:A), 0))</f>
        <v>#N/A</v>
      </c>
      <c r="B52" s="619" t="s">
        <v>486</v>
      </c>
      <c r="C52" s="623"/>
      <c r="D52" s="623"/>
      <c r="E52" s="623"/>
      <c r="F52" s="623"/>
      <c r="G52" s="624">
        <f t="shared" si="5"/>
        <v>0</v>
      </c>
      <c r="H52" s="620"/>
      <c r="I52" s="620"/>
      <c r="J52" s="620"/>
      <c r="K52" s="620"/>
      <c r="L52" s="620"/>
      <c r="M52" s="620"/>
      <c r="N52" s="620"/>
      <c r="O52" s="621">
        <f t="shared" si="14"/>
        <v>0</v>
      </c>
      <c r="P52" s="620"/>
      <c r="Q52" s="620"/>
      <c r="R52" s="620"/>
      <c r="S52" s="620"/>
      <c r="T52" s="620"/>
      <c r="U52" s="620"/>
      <c r="V52" s="621">
        <f t="shared" si="15"/>
        <v>0</v>
      </c>
      <c r="W52" s="620"/>
      <c r="X52" s="620"/>
      <c r="Y52" s="621">
        <f t="shared" si="16"/>
        <v>0</v>
      </c>
      <c r="Z52" s="621">
        <f t="shared" si="17"/>
        <v>0</v>
      </c>
    </row>
    <row r="53" spans="1:26">
      <c r="A53" s="478" cm="1">
        <f t="array" ref="A53">INDEX('Master Mapping'!O:O, MATCH(TRUE, EXACT(TEXT(LEFT(TRIM(B53), 7), "@"), 'Master Mapping'!A:A), 0))</f>
        <v>7</v>
      </c>
      <c r="B53" s="619" t="s">
        <v>487</v>
      </c>
      <c r="C53" s="623"/>
      <c r="D53" s="623"/>
      <c r="E53" s="623"/>
      <c r="F53" s="623"/>
      <c r="G53" s="624">
        <f t="shared" si="5"/>
        <v>0</v>
      </c>
      <c r="H53" s="620"/>
      <c r="I53" s="621">
        <f>703.23</f>
        <v>703.23</v>
      </c>
      <c r="J53" s="620"/>
      <c r="K53" s="620"/>
      <c r="L53" s="620"/>
      <c r="M53" s="620"/>
      <c r="N53" s="620"/>
      <c r="O53" s="621">
        <f t="shared" si="14"/>
        <v>703.23</v>
      </c>
      <c r="P53" s="620"/>
      <c r="Q53" s="620"/>
      <c r="R53" s="620"/>
      <c r="S53" s="621">
        <f>1974.63</f>
        <v>1974.63</v>
      </c>
      <c r="T53" s="620"/>
      <c r="U53" s="620"/>
      <c r="V53" s="621">
        <f t="shared" si="15"/>
        <v>1974.63</v>
      </c>
      <c r="W53" s="620"/>
      <c r="X53" s="620"/>
      <c r="Y53" s="621">
        <f t="shared" si="16"/>
        <v>0</v>
      </c>
      <c r="Z53" s="621">
        <f t="shared" si="17"/>
        <v>2677.86</v>
      </c>
    </row>
    <row r="54" spans="1:26">
      <c r="A54" s="478" cm="1">
        <f t="array" ref="A54">INDEX('Master Mapping'!O:O, MATCH(TRUE, EXACT(TEXT(LEFT(TRIM(B54), 7), "@"), 'Master Mapping'!A:A), 0))</f>
        <v>8</v>
      </c>
      <c r="B54" s="619" t="s">
        <v>488</v>
      </c>
      <c r="C54" s="623"/>
      <c r="D54" s="623"/>
      <c r="E54" s="623"/>
      <c r="F54" s="623"/>
      <c r="G54" s="624">
        <f t="shared" si="5"/>
        <v>0</v>
      </c>
      <c r="H54" s="620"/>
      <c r="I54" s="620"/>
      <c r="J54" s="620"/>
      <c r="K54" s="620"/>
      <c r="L54" s="620"/>
      <c r="M54" s="620"/>
      <c r="N54" s="620"/>
      <c r="O54" s="621">
        <f t="shared" si="14"/>
        <v>0</v>
      </c>
      <c r="P54" s="620"/>
      <c r="Q54" s="620"/>
      <c r="R54" s="620"/>
      <c r="S54" s="620"/>
      <c r="T54" s="620"/>
      <c r="U54" s="620"/>
      <c r="V54" s="621">
        <f t="shared" si="15"/>
        <v>0</v>
      </c>
      <c r="W54" s="620"/>
      <c r="X54" s="620"/>
      <c r="Y54" s="621">
        <f t="shared" si="16"/>
        <v>0</v>
      </c>
      <c r="Z54" s="621">
        <f t="shared" si="17"/>
        <v>0</v>
      </c>
    </row>
    <row r="55" spans="1:26">
      <c r="A55" s="478" cm="1">
        <f t="array" ref="A55">INDEX('Master Mapping'!O:O, MATCH(TRUE, EXACT(TEXT(LEFT(TRIM(B55), 7), "@"), 'Master Mapping'!A:A), 0))</f>
        <v>11</v>
      </c>
      <c r="B55" s="619" t="s">
        <v>588</v>
      </c>
      <c r="C55" s="623"/>
      <c r="D55" s="623"/>
      <c r="E55" s="623"/>
      <c r="F55" s="623"/>
      <c r="G55" s="624">
        <f t="shared" si="5"/>
        <v>0</v>
      </c>
      <c r="H55" s="620"/>
      <c r="I55" s="620"/>
      <c r="J55" s="620"/>
      <c r="K55" s="620"/>
      <c r="L55" s="620"/>
      <c r="M55" s="620"/>
      <c r="N55" s="620"/>
      <c r="O55" s="621">
        <f t="shared" si="14"/>
        <v>0</v>
      </c>
      <c r="P55" s="620"/>
      <c r="Q55" s="620"/>
      <c r="R55" s="620"/>
      <c r="S55" s="620"/>
      <c r="T55" s="620"/>
      <c r="U55" s="620"/>
      <c r="V55" s="621">
        <f t="shared" si="15"/>
        <v>0</v>
      </c>
      <c r="W55" s="620"/>
      <c r="X55" s="620"/>
      <c r="Y55" s="621">
        <f t="shared" si="16"/>
        <v>0</v>
      </c>
      <c r="Z55" s="621">
        <f t="shared" si="17"/>
        <v>0</v>
      </c>
    </row>
    <row r="56" spans="1:26">
      <c r="A56" s="478" cm="1">
        <f t="array" ref="A56">INDEX('Master Mapping'!O:O, MATCH(TRUE, EXACT(TEXT(LEFT(TRIM(B56), 7), "@"), 'Master Mapping'!A:A), 0))</f>
        <v>13</v>
      </c>
      <c r="B56" s="619" t="s">
        <v>489</v>
      </c>
      <c r="C56" s="623"/>
      <c r="D56" s="623"/>
      <c r="E56" s="623"/>
      <c r="F56" s="623"/>
      <c r="G56" s="624">
        <f t="shared" si="5"/>
        <v>0</v>
      </c>
      <c r="H56" s="620"/>
      <c r="I56" s="620"/>
      <c r="J56" s="620"/>
      <c r="K56" s="620"/>
      <c r="L56" s="620"/>
      <c r="M56" s="620"/>
      <c r="N56" s="620"/>
      <c r="O56" s="621">
        <f t="shared" si="14"/>
        <v>0</v>
      </c>
      <c r="P56" s="620"/>
      <c r="Q56" s="620"/>
      <c r="R56" s="620"/>
      <c r="S56" s="620"/>
      <c r="T56" s="620"/>
      <c r="U56" s="620"/>
      <c r="V56" s="621">
        <f t="shared" si="15"/>
        <v>0</v>
      </c>
      <c r="W56" s="620"/>
      <c r="X56" s="620"/>
      <c r="Y56" s="621">
        <f t="shared" si="16"/>
        <v>0</v>
      </c>
      <c r="Z56" s="621">
        <f t="shared" si="17"/>
        <v>0</v>
      </c>
    </row>
    <row r="57" spans="1:26">
      <c r="A57" s="478" cm="1">
        <f t="array" ref="A57">INDEX('Master Mapping'!O:O, MATCH(TRUE, EXACT(TEXT(LEFT(TRIM(B57), 7), "@"), 'Master Mapping'!A:A), 0))</f>
        <v>13</v>
      </c>
      <c r="B57" s="619" t="s">
        <v>490</v>
      </c>
      <c r="C57" s="623"/>
      <c r="D57" s="623"/>
      <c r="E57" s="623"/>
      <c r="F57" s="623"/>
      <c r="G57" s="624">
        <f t="shared" si="5"/>
        <v>0</v>
      </c>
      <c r="H57" s="620"/>
      <c r="I57" s="620"/>
      <c r="J57" s="620"/>
      <c r="K57" s="620"/>
      <c r="L57" s="620"/>
      <c r="M57" s="620"/>
      <c r="N57" s="620"/>
      <c r="O57" s="621">
        <f t="shared" si="14"/>
        <v>0</v>
      </c>
      <c r="P57" s="620"/>
      <c r="Q57" s="620"/>
      <c r="R57" s="620"/>
      <c r="S57" s="620"/>
      <c r="T57" s="620"/>
      <c r="U57" s="620"/>
      <c r="V57" s="621">
        <f t="shared" si="15"/>
        <v>0</v>
      </c>
      <c r="W57" s="620"/>
      <c r="X57" s="620"/>
      <c r="Y57" s="621">
        <f t="shared" si="16"/>
        <v>0</v>
      </c>
      <c r="Z57" s="621">
        <f t="shared" si="17"/>
        <v>0</v>
      </c>
    </row>
    <row r="58" spans="1:26">
      <c r="A58" s="478" cm="1">
        <f t="array" ref="A58">INDEX('Master Mapping'!O:O, MATCH(TRUE, EXACT(TEXT(LEFT(TRIM(B58), 7), "@"), 'Master Mapping'!A:A), 0))</f>
        <v>14</v>
      </c>
      <c r="B58" s="619" t="s">
        <v>491</v>
      </c>
      <c r="C58" s="623"/>
      <c r="D58" s="623"/>
      <c r="E58" s="623"/>
      <c r="F58" s="623"/>
      <c r="G58" s="624">
        <f t="shared" si="5"/>
        <v>0</v>
      </c>
      <c r="H58" s="620"/>
      <c r="I58" s="621">
        <f>187.94</f>
        <v>187.94</v>
      </c>
      <c r="J58" s="620"/>
      <c r="K58" s="620"/>
      <c r="L58" s="620"/>
      <c r="M58" s="620"/>
      <c r="N58" s="620"/>
      <c r="O58" s="621">
        <f t="shared" si="14"/>
        <v>187.94</v>
      </c>
      <c r="P58" s="620"/>
      <c r="Q58" s="620"/>
      <c r="R58" s="620"/>
      <c r="S58" s="620"/>
      <c r="T58" s="620"/>
      <c r="U58" s="620"/>
      <c r="V58" s="621">
        <f t="shared" si="15"/>
        <v>0</v>
      </c>
      <c r="W58" s="620"/>
      <c r="X58" s="620"/>
      <c r="Y58" s="621">
        <f t="shared" si="16"/>
        <v>0</v>
      </c>
      <c r="Z58" s="621">
        <f t="shared" si="17"/>
        <v>187.94</v>
      </c>
    </row>
    <row r="59" spans="1:26">
      <c r="A59" s="478" cm="1">
        <f t="array" ref="A59">INDEX('Master Mapping'!O:O, MATCH(TRUE, EXACT(TEXT(LEFT(TRIM(B59), 7), "@"), 'Master Mapping'!A:A), 0))</f>
        <v>16</v>
      </c>
      <c r="B59" s="619" t="s">
        <v>492</v>
      </c>
      <c r="C59" s="623"/>
      <c r="D59" s="623"/>
      <c r="E59" s="623"/>
      <c r="F59" s="623"/>
      <c r="G59" s="624">
        <f t="shared" si="5"/>
        <v>0</v>
      </c>
      <c r="H59" s="620"/>
      <c r="I59" s="620"/>
      <c r="J59" s="620"/>
      <c r="K59" s="620"/>
      <c r="L59" s="620"/>
      <c r="M59" s="620"/>
      <c r="N59" s="620"/>
      <c r="O59" s="621">
        <f t="shared" si="14"/>
        <v>0</v>
      </c>
      <c r="P59" s="620"/>
      <c r="Q59" s="620"/>
      <c r="R59" s="620"/>
      <c r="S59" s="620"/>
      <c r="T59" s="620"/>
      <c r="U59" s="620"/>
      <c r="V59" s="621">
        <f t="shared" si="15"/>
        <v>0</v>
      </c>
      <c r="W59" s="620"/>
      <c r="X59" s="620"/>
      <c r="Y59" s="621">
        <f t="shared" si="16"/>
        <v>0</v>
      </c>
      <c r="Z59" s="621">
        <f t="shared" si="17"/>
        <v>0</v>
      </c>
    </row>
    <row r="60" spans="1:26">
      <c r="A60" s="478" cm="1">
        <f t="array" ref="A60">INDEX('Master Mapping'!O:O, MATCH(TRUE, EXACT(TEXT(LEFT(TRIM(B60), 7), "@"), 'Master Mapping'!A:A), 0))</f>
        <v>18</v>
      </c>
      <c r="B60" s="619" t="s">
        <v>493</v>
      </c>
      <c r="C60" s="623"/>
      <c r="D60" s="623"/>
      <c r="E60" s="623"/>
      <c r="F60" s="623"/>
      <c r="G60" s="624">
        <f t="shared" si="5"/>
        <v>0</v>
      </c>
      <c r="H60" s="620"/>
      <c r="I60" s="620"/>
      <c r="J60" s="620"/>
      <c r="K60" s="620"/>
      <c r="L60" s="620"/>
      <c r="M60" s="620"/>
      <c r="N60" s="620"/>
      <c r="O60" s="621">
        <f t="shared" si="14"/>
        <v>0</v>
      </c>
      <c r="P60" s="620"/>
      <c r="Q60" s="620"/>
      <c r="R60" s="620"/>
      <c r="S60" s="620"/>
      <c r="T60" s="620"/>
      <c r="U60" s="620"/>
      <c r="V60" s="621">
        <f t="shared" si="15"/>
        <v>0</v>
      </c>
      <c r="W60" s="620"/>
      <c r="X60" s="620"/>
      <c r="Y60" s="621">
        <f t="shared" si="16"/>
        <v>0</v>
      </c>
      <c r="Z60" s="621">
        <f t="shared" si="17"/>
        <v>0</v>
      </c>
    </row>
    <row r="61" spans="1:26">
      <c r="A61" s="478" t="e" cm="1">
        <f t="array" ref="A61">INDEX('Master Mapping'!O:O, MATCH(TRUE, EXACT(TEXT(LEFT(TRIM(B61), 7), "@"), 'Master Mapping'!A:A), 0))</f>
        <v>#N/A</v>
      </c>
      <c r="B61" s="619" t="s">
        <v>494</v>
      </c>
      <c r="C61" s="623"/>
      <c r="D61" s="623"/>
      <c r="E61" s="623"/>
      <c r="F61" s="623"/>
      <c r="G61" s="624">
        <f t="shared" si="5"/>
        <v>0</v>
      </c>
      <c r="H61" s="622">
        <f t="shared" ref="H61:N61" si="24">((((((((H52)+(H53))+(H54))+(H55))+(H56))+(H57))+(H58))+(H59))+(H60)</f>
        <v>0</v>
      </c>
      <c r="I61" s="622">
        <f t="shared" si="24"/>
        <v>891.17000000000007</v>
      </c>
      <c r="J61" s="622">
        <f t="shared" si="24"/>
        <v>0</v>
      </c>
      <c r="K61" s="622">
        <f t="shared" si="24"/>
        <v>0</v>
      </c>
      <c r="L61" s="622">
        <f t="shared" si="24"/>
        <v>0</v>
      </c>
      <c r="M61" s="622">
        <f t="shared" si="24"/>
        <v>0</v>
      </c>
      <c r="N61" s="622">
        <f t="shared" si="24"/>
        <v>0</v>
      </c>
      <c r="O61" s="622">
        <f t="shared" si="14"/>
        <v>891.17000000000007</v>
      </c>
      <c r="P61" s="622">
        <f t="shared" ref="P61:U61" si="25">((((((((P52)+(P53))+(P54))+(P55))+(P56))+(P57))+(P58))+(P59))+(P60)</f>
        <v>0</v>
      </c>
      <c r="Q61" s="622">
        <f t="shared" si="25"/>
        <v>0</v>
      </c>
      <c r="R61" s="622">
        <f t="shared" si="25"/>
        <v>0</v>
      </c>
      <c r="S61" s="622">
        <f t="shared" si="25"/>
        <v>1974.63</v>
      </c>
      <c r="T61" s="622">
        <f t="shared" si="25"/>
        <v>0</v>
      </c>
      <c r="U61" s="622">
        <f t="shared" si="25"/>
        <v>0</v>
      </c>
      <c r="V61" s="622">
        <f t="shared" si="15"/>
        <v>1974.63</v>
      </c>
      <c r="W61" s="622">
        <f>((((((((W52)+(W53))+(W54))+(W55))+(W56))+(W57))+(W58))+(W59))+(W60)</f>
        <v>0</v>
      </c>
      <c r="X61" s="622">
        <f>((((((((X52)+(X53))+(X54))+(X55))+(X56))+(X57))+(X58))+(X59))+(X60)</f>
        <v>0</v>
      </c>
      <c r="Y61" s="622">
        <f t="shared" si="16"/>
        <v>0</v>
      </c>
      <c r="Z61" s="622">
        <f t="shared" si="17"/>
        <v>2865.8</v>
      </c>
    </row>
    <row r="62" spans="1:26">
      <c r="A62" s="478" t="e" cm="1">
        <f t="array" ref="A62">INDEX('Master Mapping'!O:O, MATCH(TRUE, EXACT(TEXT(LEFT(TRIM(B62), 7), "@"), 'Master Mapping'!A:A), 0))</f>
        <v>#N/A</v>
      </c>
      <c r="B62" s="619" t="s">
        <v>501</v>
      </c>
      <c r="C62" s="623"/>
      <c r="D62" s="623"/>
      <c r="E62" s="623"/>
      <c r="F62" s="623"/>
      <c r="G62" s="624">
        <f t="shared" si="5"/>
        <v>0</v>
      </c>
      <c r="H62" s="620"/>
      <c r="I62" s="620"/>
      <c r="J62" s="620"/>
      <c r="K62" s="620"/>
      <c r="L62" s="620"/>
      <c r="M62" s="620"/>
      <c r="N62" s="620"/>
      <c r="O62" s="621">
        <f t="shared" si="14"/>
        <v>0</v>
      </c>
      <c r="P62" s="620"/>
      <c r="Q62" s="620"/>
      <c r="R62" s="620"/>
      <c r="S62" s="620"/>
      <c r="T62" s="620"/>
      <c r="U62" s="620"/>
      <c r="V62" s="621">
        <f t="shared" si="15"/>
        <v>0</v>
      </c>
      <c r="W62" s="620"/>
      <c r="X62" s="620"/>
      <c r="Y62" s="621">
        <f t="shared" si="16"/>
        <v>0</v>
      </c>
      <c r="Z62" s="621">
        <f t="shared" si="17"/>
        <v>0</v>
      </c>
    </row>
    <row r="63" spans="1:26">
      <c r="A63" s="478" cm="1">
        <f t="array" ref="A63">INDEX('Master Mapping'!O:O, MATCH(TRUE, EXACT(TEXT(LEFT(TRIM(B63), 7), "@"), 'Master Mapping'!A:A), 0))</f>
        <v>7</v>
      </c>
      <c r="B63" s="619" t="s">
        <v>502</v>
      </c>
      <c r="C63" s="623"/>
      <c r="D63" s="623"/>
      <c r="E63" s="623"/>
      <c r="F63" s="623"/>
      <c r="G63" s="624">
        <f t="shared" si="5"/>
        <v>0</v>
      </c>
      <c r="H63" s="620"/>
      <c r="I63" s="620"/>
      <c r="J63" s="620"/>
      <c r="K63" s="620"/>
      <c r="L63" s="620"/>
      <c r="M63" s="620"/>
      <c r="N63" s="620"/>
      <c r="O63" s="621">
        <f t="shared" si="14"/>
        <v>0</v>
      </c>
      <c r="P63" s="620"/>
      <c r="Q63" s="620"/>
      <c r="R63" s="620"/>
      <c r="S63" s="620"/>
      <c r="T63" s="620"/>
      <c r="U63" s="620"/>
      <c r="V63" s="621">
        <f t="shared" si="15"/>
        <v>0</v>
      </c>
      <c r="W63" s="620"/>
      <c r="X63" s="620"/>
      <c r="Y63" s="621">
        <f t="shared" si="16"/>
        <v>0</v>
      </c>
      <c r="Z63" s="621">
        <f t="shared" si="17"/>
        <v>0</v>
      </c>
    </row>
    <row r="64" spans="1:26">
      <c r="A64" s="478" cm="1">
        <f t="array" ref="A64">INDEX('Master Mapping'!O:O, MATCH(TRUE, EXACT(TEXT(LEFT(TRIM(B64), 7), "@"), 'Master Mapping'!A:A), 0))</f>
        <v>18</v>
      </c>
      <c r="B64" s="619" t="s">
        <v>508</v>
      </c>
      <c r="C64" s="623"/>
      <c r="D64" s="623"/>
      <c r="E64" s="623"/>
      <c r="F64" s="623"/>
      <c r="G64" s="624">
        <f t="shared" si="5"/>
        <v>0</v>
      </c>
      <c r="H64" s="620"/>
      <c r="I64" s="620"/>
      <c r="J64" s="620"/>
      <c r="K64" s="620"/>
      <c r="L64" s="620"/>
      <c r="M64" s="620"/>
      <c r="N64" s="620"/>
      <c r="O64" s="621">
        <f t="shared" si="14"/>
        <v>0</v>
      </c>
      <c r="P64" s="620"/>
      <c r="Q64" s="620"/>
      <c r="R64" s="620"/>
      <c r="S64" s="620"/>
      <c r="T64" s="620"/>
      <c r="U64" s="620"/>
      <c r="V64" s="621">
        <f t="shared" si="15"/>
        <v>0</v>
      </c>
      <c r="W64" s="620"/>
      <c r="X64" s="620"/>
      <c r="Y64" s="621">
        <f t="shared" si="16"/>
        <v>0</v>
      </c>
      <c r="Z64" s="621">
        <f t="shared" si="17"/>
        <v>0</v>
      </c>
    </row>
    <row r="65" spans="1:26">
      <c r="A65" s="478" t="e" cm="1">
        <f t="array" ref="A65">INDEX('Master Mapping'!O:O, MATCH(TRUE, EXACT(TEXT(LEFT(TRIM(B65), 7), "@"), 'Master Mapping'!A:A), 0))</f>
        <v>#N/A</v>
      </c>
      <c r="B65" s="619" t="s">
        <v>509</v>
      </c>
      <c r="C65" s="623"/>
      <c r="D65" s="623"/>
      <c r="E65" s="623"/>
      <c r="F65" s="623"/>
      <c r="G65" s="624">
        <f t="shared" si="5"/>
        <v>0</v>
      </c>
      <c r="H65" s="622">
        <f t="shared" ref="H65:N65" si="26">((H62)+(H63))+(H64)</f>
        <v>0</v>
      </c>
      <c r="I65" s="622">
        <f t="shared" si="26"/>
        <v>0</v>
      </c>
      <c r="J65" s="622">
        <f t="shared" si="26"/>
        <v>0</v>
      </c>
      <c r="K65" s="622">
        <f t="shared" si="26"/>
        <v>0</v>
      </c>
      <c r="L65" s="622">
        <f t="shared" si="26"/>
        <v>0</v>
      </c>
      <c r="M65" s="622">
        <f t="shared" si="26"/>
        <v>0</v>
      </c>
      <c r="N65" s="622">
        <f t="shared" si="26"/>
        <v>0</v>
      </c>
      <c r="O65" s="622">
        <f t="shared" si="14"/>
        <v>0</v>
      </c>
      <c r="P65" s="622">
        <f t="shared" ref="P65:U65" si="27">((P62)+(P63))+(P64)</f>
        <v>0</v>
      </c>
      <c r="Q65" s="622">
        <f t="shared" si="27"/>
        <v>0</v>
      </c>
      <c r="R65" s="622">
        <f t="shared" si="27"/>
        <v>0</v>
      </c>
      <c r="S65" s="622">
        <f t="shared" si="27"/>
        <v>0</v>
      </c>
      <c r="T65" s="622">
        <f t="shared" si="27"/>
        <v>0</v>
      </c>
      <c r="U65" s="622">
        <f t="shared" si="27"/>
        <v>0</v>
      </c>
      <c r="V65" s="622">
        <f t="shared" si="15"/>
        <v>0</v>
      </c>
      <c r="W65" s="622">
        <f>((W62)+(W63))+(W64)</f>
        <v>0</v>
      </c>
      <c r="X65" s="622">
        <f>((X62)+(X63))+(X64)</f>
        <v>0</v>
      </c>
      <c r="Y65" s="622">
        <f t="shared" si="16"/>
        <v>0</v>
      </c>
      <c r="Z65" s="622">
        <f t="shared" si="17"/>
        <v>0</v>
      </c>
    </row>
    <row r="66" spans="1:26">
      <c r="A66" s="478" t="e" cm="1">
        <f t="array" ref="A66">INDEX('Master Mapping'!O:O, MATCH(TRUE, EXACT(TEXT(LEFT(TRIM(B66), 7), "@"), 'Master Mapping'!A:A), 0))</f>
        <v>#N/A</v>
      </c>
      <c r="B66" s="619" t="s">
        <v>515</v>
      </c>
      <c r="C66" s="623"/>
      <c r="D66" s="623"/>
      <c r="E66" s="623"/>
      <c r="F66" s="623"/>
      <c r="G66" s="624">
        <f t="shared" si="5"/>
        <v>0</v>
      </c>
      <c r="H66" s="622">
        <f t="shared" ref="H66:N66" si="28">((((H37)+(H41))+(H51))+(H61))+(H65)</f>
        <v>0</v>
      </c>
      <c r="I66" s="622">
        <f t="shared" si="28"/>
        <v>9526</v>
      </c>
      <c r="J66" s="622">
        <f t="shared" si="28"/>
        <v>0</v>
      </c>
      <c r="K66" s="622">
        <f t="shared" si="28"/>
        <v>0</v>
      </c>
      <c r="L66" s="622">
        <f t="shared" si="28"/>
        <v>0</v>
      </c>
      <c r="M66" s="622">
        <f t="shared" si="28"/>
        <v>0</v>
      </c>
      <c r="N66" s="622">
        <f t="shared" si="28"/>
        <v>0</v>
      </c>
      <c r="O66" s="622">
        <f t="shared" si="14"/>
        <v>9526</v>
      </c>
      <c r="P66" s="622">
        <f t="shared" ref="P66:U66" si="29">((((P37)+(P41))+(P51))+(P61))+(P65)</f>
        <v>0</v>
      </c>
      <c r="Q66" s="622">
        <f t="shared" si="29"/>
        <v>0</v>
      </c>
      <c r="R66" s="622">
        <f t="shared" si="29"/>
        <v>0</v>
      </c>
      <c r="S66" s="622">
        <f t="shared" si="29"/>
        <v>27848.66</v>
      </c>
      <c r="T66" s="622">
        <f t="shared" si="29"/>
        <v>0</v>
      </c>
      <c r="U66" s="622">
        <f t="shared" si="29"/>
        <v>0</v>
      </c>
      <c r="V66" s="622">
        <f t="shared" si="15"/>
        <v>27848.66</v>
      </c>
      <c r="W66" s="622">
        <f>((((W37)+(W41))+(W51))+(W61))+(W65)</f>
        <v>0</v>
      </c>
      <c r="X66" s="622">
        <f>((((X37)+(X41))+(X51))+(X61))+(X65)</f>
        <v>0</v>
      </c>
      <c r="Y66" s="622">
        <f t="shared" si="16"/>
        <v>0</v>
      </c>
      <c r="Z66" s="622">
        <f t="shared" si="17"/>
        <v>37374.660000000003</v>
      </c>
    </row>
    <row r="67" spans="1:26">
      <c r="A67" s="478" t="e" cm="1">
        <f t="array" ref="A67">INDEX('Master Mapping'!O:O, MATCH(TRUE, EXACT(TEXT(LEFT(TRIM(B67), 7), "@"), 'Master Mapping'!A:A), 0))</f>
        <v>#N/A</v>
      </c>
      <c r="B67" s="619" t="s">
        <v>531</v>
      </c>
      <c r="C67" s="623"/>
      <c r="D67" s="623"/>
      <c r="E67" s="623"/>
      <c r="F67" s="623"/>
      <c r="G67" s="624">
        <f t="shared" si="5"/>
        <v>0</v>
      </c>
      <c r="H67" s="620"/>
      <c r="I67" s="620"/>
      <c r="J67" s="620"/>
      <c r="K67" s="620"/>
      <c r="L67" s="620"/>
      <c r="M67" s="620"/>
      <c r="N67" s="620"/>
      <c r="O67" s="621">
        <f t="shared" si="14"/>
        <v>0</v>
      </c>
      <c r="P67" s="620"/>
      <c r="Q67" s="620"/>
      <c r="R67" s="620"/>
      <c r="S67" s="620"/>
      <c r="T67" s="620"/>
      <c r="U67" s="620"/>
      <c r="V67" s="621">
        <f t="shared" si="15"/>
        <v>0</v>
      </c>
      <c r="W67" s="620"/>
      <c r="X67" s="620"/>
      <c r="Y67" s="621">
        <f t="shared" si="16"/>
        <v>0</v>
      </c>
      <c r="Z67" s="621">
        <f t="shared" si="17"/>
        <v>0</v>
      </c>
    </row>
    <row r="68" spans="1:26">
      <c r="A68" s="478" cm="1">
        <f t="array" ref="A68">INDEX('Master Mapping'!O:O, MATCH(TRUE, EXACT(TEXT(LEFT(TRIM(B68), 7), "@"), 'Master Mapping'!A:A), 0))</f>
        <v>21</v>
      </c>
      <c r="B68" s="619" t="s">
        <v>539</v>
      </c>
      <c r="C68" s="623"/>
      <c r="D68" s="623"/>
      <c r="E68" s="623"/>
      <c r="F68" s="623"/>
      <c r="G68" s="624">
        <f t="shared" si="5"/>
        <v>0</v>
      </c>
      <c r="H68" s="620"/>
      <c r="I68" s="620"/>
      <c r="J68" s="620"/>
      <c r="K68" s="620"/>
      <c r="L68" s="620"/>
      <c r="M68" s="620"/>
      <c r="N68" s="620"/>
      <c r="O68" s="621">
        <f t="shared" si="14"/>
        <v>0</v>
      </c>
      <c r="P68" s="620"/>
      <c r="Q68" s="620"/>
      <c r="R68" s="620"/>
      <c r="S68" s="620"/>
      <c r="T68" s="620"/>
      <c r="U68" s="620"/>
      <c r="V68" s="621">
        <f t="shared" si="15"/>
        <v>0</v>
      </c>
      <c r="W68" s="620"/>
      <c r="X68" s="621">
        <f>4453.59</f>
        <v>4453.59</v>
      </c>
      <c r="Y68" s="621">
        <f t="shared" si="16"/>
        <v>4453.59</v>
      </c>
      <c r="Z68" s="621">
        <f t="shared" si="17"/>
        <v>4453.59</v>
      </c>
    </row>
    <row r="69" spans="1:26">
      <c r="A69" s="478" t="e" cm="1">
        <f t="array" ref="A69">INDEX('Master Mapping'!O:O, MATCH(TRUE, EXACT(TEXT(LEFT(TRIM(B69), 7), "@"), 'Master Mapping'!A:A), 0))</f>
        <v>#N/A</v>
      </c>
      <c r="B69" s="619" t="s">
        <v>541</v>
      </c>
      <c r="C69" s="623"/>
      <c r="D69" s="623"/>
      <c r="E69" s="623"/>
      <c r="F69" s="623"/>
      <c r="G69" s="624">
        <f t="shared" si="5"/>
        <v>0</v>
      </c>
      <c r="H69" s="622">
        <f t="shared" ref="H69:N69" si="30">(H67)+(H68)</f>
        <v>0</v>
      </c>
      <c r="I69" s="622">
        <f t="shared" si="30"/>
        <v>0</v>
      </c>
      <c r="J69" s="622">
        <f t="shared" si="30"/>
        <v>0</v>
      </c>
      <c r="K69" s="622">
        <f t="shared" si="30"/>
        <v>0</v>
      </c>
      <c r="L69" s="622">
        <f t="shared" si="30"/>
        <v>0</v>
      </c>
      <c r="M69" s="622">
        <f t="shared" si="30"/>
        <v>0</v>
      </c>
      <c r="N69" s="622">
        <f t="shared" si="30"/>
        <v>0</v>
      </c>
      <c r="O69" s="622">
        <f t="shared" si="14"/>
        <v>0</v>
      </c>
      <c r="P69" s="622">
        <f t="shared" ref="P69:U69" si="31">(P67)+(P68)</f>
        <v>0</v>
      </c>
      <c r="Q69" s="622">
        <f t="shared" si="31"/>
        <v>0</v>
      </c>
      <c r="R69" s="622">
        <f t="shared" si="31"/>
        <v>0</v>
      </c>
      <c r="S69" s="622">
        <f t="shared" si="31"/>
        <v>0</v>
      </c>
      <c r="T69" s="622">
        <f t="shared" si="31"/>
        <v>0</v>
      </c>
      <c r="U69" s="622">
        <f t="shared" si="31"/>
        <v>0</v>
      </c>
      <c r="V69" s="622">
        <f t="shared" si="15"/>
        <v>0</v>
      </c>
      <c r="W69" s="622">
        <f>(W67)+(W68)</f>
        <v>0</v>
      </c>
      <c r="X69" s="622">
        <f>(X67)+(X68)</f>
        <v>4453.59</v>
      </c>
      <c r="Y69" s="622">
        <f t="shared" si="16"/>
        <v>4453.59</v>
      </c>
      <c r="Z69" s="622">
        <f t="shared" si="17"/>
        <v>4453.59</v>
      </c>
    </row>
    <row r="70" spans="1:26">
      <c r="A70" s="478" t="e" cm="1">
        <f t="array" ref="A70">INDEX('Master Mapping'!O:O, MATCH(TRUE, EXACT(TEXT(LEFT(TRIM(B70), 7), "@"), 'Master Mapping'!A:A), 0))</f>
        <v>#N/A</v>
      </c>
      <c r="B70" s="619" t="s">
        <v>542</v>
      </c>
      <c r="C70" s="623"/>
      <c r="D70" s="623"/>
      <c r="E70" s="623"/>
      <c r="F70" s="623"/>
      <c r="G70" s="624">
        <f t="shared" si="5"/>
        <v>0</v>
      </c>
      <c r="H70" s="620"/>
      <c r="I70" s="620"/>
      <c r="J70" s="620"/>
      <c r="K70" s="620"/>
      <c r="L70" s="620"/>
      <c r="M70" s="620"/>
      <c r="N70" s="620"/>
      <c r="O70" s="621">
        <f t="shared" si="14"/>
        <v>0</v>
      </c>
      <c r="P70" s="620"/>
      <c r="Q70" s="620"/>
      <c r="R70" s="620"/>
      <c r="S70" s="620"/>
      <c r="T70" s="620"/>
      <c r="U70" s="620"/>
      <c r="V70" s="621">
        <f t="shared" si="15"/>
        <v>0</v>
      </c>
      <c r="W70" s="620"/>
      <c r="X70" s="620"/>
      <c r="Y70" s="621">
        <f t="shared" si="16"/>
        <v>0</v>
      </c>
      <c r="Z70" s="621">
        <f t="shared" si="17"/>
        <v>0</v>
      </c>
    </row>
    <row r="71" spans="1:26">
      <c r="A71" s="478" cm="1">
        <f t="array" ref="A71">INDEX('Master Mapping'!O:O, MATCH(TRUE, EXACT(TEXT(LEFT(TRIM(B71), 7), "@"), 'Master Mapping'!A:A), 0))</f>
        <v>21</v>
      </c>
      <c r="B71" s="619" t="s">
        <v>547</v>
      </c>
      <c r="C71" s="623"/>
      <c r="D71" s="623"/>
      <c r="E71" s="623"/>
      <c r="F71" s="623"/>
      <c r="G71" s="624">
        <f t="shared" si="5"/>
        <v>0</v>
      </c>
      <c r="H71" s="620"/>
      <c r="I71" s="620"/>
      <c r="J71" s="620"/>
      <c r="K71" s="620"/>
      <c r="L71" s="620"/>
      <c r="M71" s="620"/>
      <c r="N71" s="620"/>
      <c r="O71" s="621">
        <f t="shared" si="14"/>
        <v>0</v>
      </c>
      <c r="P71" s="620"/>
      <c r="Q71" s="620"/>
      <c r="R71" s="620"/>
      <c r="S71" s="620"/>
      <c r="T71" s="620"/>
      <c r="U71" s="620"/>
      <c r="V71" s="621">
        <f t="shared" si="15"/>
        <v>0</v>
      </c>
      <c r="W71" s="620"/>
      <c r="X71" s="621">
        <f>59894.53</f>
        <v>59894.53</v>
      </c>
      <c r="Y71" s="621">
        <f t="shared" si="16"/>
        <v>59894.53</v>
      </c>
      <c r="Z71" s="621">
        <f t="shared" si="17"/>
        <v>59894.53</v>
      </c>
    </row>
    <row r="72" spans="1:26">
      <c r="A72" s="478" t="e" cm="1">
        <f t="array" ref="A72">INDEX('Master Mapping'!O:O, MATCH(TRUE, EXACT(TEXT(LEFT(TRIM(B72), 7), "@"), 'Master Mapping'!A:A), 0))</f>
        <v>#N/A</v>
      </c>
      <c r="B72" s="619" t="s">
        <v>549</v>
      </c>
      <c r="C72" s="623"/>
      <c r="D72" s="623"/>
      <c r="E72" s="623"/>
      <c r="F72" s="623"/>
      <c r="G72" s="624">
        <f t="shared" ref="G72:G78" si="32">(((C72)+(D72))+(E72))+(F72)</f>
        <v>0</v>
      </c>
      <c r="H72" s="622">
        <f t="shared" ref="H72:N72" si="33">(H70)+(H71)</f>
        <v>0</v>
      </c>
      <c r="I72" s="622">
        <f t="shared" si="33"/>
        <v>0</v>
      </c>
      <c r="J72" s="622">
        <f t="shared" si="33"/>
        <v>0</v>
      </c>
      <c r="K72" s="622">
        <f t="shared" si="33"/>
        <v>0</v>
      </c>
      <c r="L72" s="622">
        <f t="shared" si="33"/>
        <v>0</v>
      </c>
      <c r="M72" s="622">
        <f t="shared" si="33"/>
        <v>0</v>
      </c>
      <c r="N72" s="622">
        <f t="shared" si="33"/>
        <v>0</v>
      </c>
      <c r="O72" s="622">
        <f t="shared" si="14"/>
        <v>0</v>
      </c>
      <c r="P72" s="622">
        <f t="shared" ref="P72:U72" si="34">(P70)+(P71)</f>
        <v>0</v>
      </c>
      <c r="Q72" s="622">
        <f t="shared" si="34"/>
        <v>0</v>
      </c>
      <c r="R72" s="622">
        <f t="shared" si="34"/>
        <v>0</v>
      </c>
      <c r="S72" s="622">
        <f t="shared" si="34"/>
        <v>0</v>
      </c>
      <c r="T72" s="622">
        <f t="shared" si="34"/>
        <v>0</v>
      </c>
      <c r="U72" s="622">
        <f t="shared" si="34"/>
        <v>0</v>
      </c>
      <c r="V72" s="622">
        <f t="shared" si="15"/>
        <v>0</v>
      </c>
      <c r="W72" s="622">
        <f>(W70)+(W71)</f>
        <v>0</v>
      </c>
      <c r="X72" s="622">
        <f>(X70)+(X71)</f>
        <v>59894.53</v>
      </c>
      <c r="Y72" s="622">
        <f t="shared" si="16"/>
        <v>59894.53</v>
      </c>
      <c r="Z72" s="622">
        <f t="shared" si="17"/>
        <v>59894.53</v>
      </c>
    </row>
    <row r="73" spans="1:26">
      <c r="A73" s="478" t="e" cm="1">
        <f t="array" ref="A73">INDEX('Master Mapping'!O:O, MATCH(TRUE, EXACT(TEXT(LEFT(TRIM(B73), 7), "@"), 'Master Mapping'!A:A), 0))</f>
        <v>#N/A</v>
      </c>
      <c r="B73" s="619" t="s">
        <v>563</v>
      </c>
      <c r="C73" s="623"/>
      <c r="D73" s="623"/>
      <c r="E73" s="623"/>
      <c r="F73" s="623"/>
      <c r="G73" s="624">
        <f t="shared" si="32"/>
        <v>0</v>
      </c>
      <c r="H73" s="620"/>
      <c r="I73" s="620"/>
      <c r="J73" s="620"/>
      <c r="K73" s="620"/>
      <c r="L73" s="620"/>
      <c r="M73" s="620"/>
      <c r="N73" s="620"/>
      <c r="O73" s="621">
        <f t="shared" si="14"/>
        <v>0</v>
      </c>
      <c r="P73" s="620"/>
      <c r="Q73" s="620"/>
      <c r="R73" s="620"/>
      <c r="S73" s="620"/>
      <c r="T73" s="620"/>
      <c r="U73" s="620"/>
      <c r="V73" s="621">
        <f t="shared" si="15"/>
        <v>0</v>
      </c>
      <c r="W73" s="620"/>
      <c r="X73" s="620"/>
      <c r="Y73" s="621">
        <f t="shared" si="16"/>
        <v>0</v>
      </c>
      <c r="Z73" s="621">
        <f t="shared" si="17"/>
        <v>0</v>
      </c>
    </row>
    <row r="74" spans="1:26">
      <c r="A74" s="478" cm="1">
        <f t="array" ref="A74">INDEX('Master Mapping'!O:O, MATCH(TRUE, EXACT(TEXT(LEFT(TRIM(B74), 7), "@"), 'Master Mapping'!A:A), 0))</f>
        <v>26</v>
      </c>
      <c r="B74" s="619" t="s">
        <v>564</v>
      </c>
      <c r="C74" s="623"/>
      <c r="D74" s="623"/>
      <c r="E74" s="623"/>
      <c r="F74" s="623"/>
      <c r="G74" s="624">
        <f t="shared" si="32"/>
        <v>0</v>
      </c>
      <c r="H74" s="620"/>
      <c r="I74" s="621">
        <f>9400</f>
        <v>9400</v>
      </c>
      <c r="J74" s="620"/>
      <c r="K74" s="620"/>
      <c r="L74" s="620"/>
      <c r="M74" s="620"/>
      <c r="N74" s="620"/>
      <c r="O74" s="621">
        <f t="shared" si="14"/>
        <v>9400</v>
      </c>
      <c r="P74" s="620"/>
      <c r="Q74" s="620"/>
      <c r="R74" s="620"/>
      <c r="S74" s="620"/>
      <c r="T74" s="620"/>
      <c r="U74" s="620"/>
      <c r="V74" s="621">
        <f t="shared" si="15"/>
        <v>0</v>
      </c>
      <c r="W74" s="620"/>
      <c r="X74" s="620"/>
      <c r="Y74" s="621">
        <f t="shared" si="16"/>
        <v>0</v>
      </c>
      <c r="Z74" s="621">
        <f t="shared" si="17"/>
        <v>9400</v>
      </c>
    </row>
    <row r="75" spans="1:26">
      <c r="A75" s="478" t="e" cm="1">
        <f t="array" ref="A75">INDEX('Master Mapping'!O:O, MATCH(TRUE, EXACT(TEXT(LEFT(TRIM(B75), 7), "@"), 'Master Mapping'!A:A), 0))</f>
        <v>#N/A</v>
      </c>
      <c r="B75" s="619" t="s">
        <v>565</v>
      </c>
      <c r="C75" s="623"/>
      <c r="D75" s="623"/>
      <c r="E75" s="623"/>
      <c r="F75" s="623"/>
      <c r="G75" s="624">
        <f t="shared" si="32"/>
        <v>0</v>
      </c>
      <c r="H75" s="622">
        <f t="shared" ref="H75:N75" si="35">(H73)+(H74)</f>
        <v>0</v>
      </c>
      <c r="I75" s="622">
        <f t="shared" si="35"/>
        <v>9400</v>
      </c>
      <c r="J75" s="622">
        <f t="shared" si="35"/>
        <v>0</v>
      </c>
      <c r="K75" s="622">
        <f t="shared" si="35"/>
        <v>0</v>
      </c>
      <c r="L75" s="622">
        <f t="shared" si="35"/>
        <v>0</v>
      </c>
      <c r="M75" s="622">
        <f t="shared" si="35"/>
        <v>0</v>
      </c>
      <c r="N75" s="622">
        <f t="shared" si="35"/>
        <v>0</v>
      </c>
      <c r="O75" s="622">
        <f t="shared" si="14"/>
        <v>9400</v>
      </c>
      <c r="P75" s="622">
        <f t="shared" ref="P75:U75" si="36">(P73)+(P74)</f>
        <v>0</v>
      </c>
      <c r="Q75" s="622">
        <f t="shared" si="36"/>
        <v>0</v>
      </c>
      <c r="R75" s="622">
        <f t="shared" si="36"/>
        <v>0</v>
      </c>
      <c r="S75" s="622">
        <f t="shared" si="36"/>
        <v>0</v>
      </c>
      <c r="T75" s="622">
        <f t="shared" si="36"/>
        <v>0</v>
      </c>
      <c r="U75" s="622">
        <f t="shared" si="36"/>
        <v>0</v>
      </c>
      <c r="V75" s="622">
        <f t="shared" si="15"/>
        <v>0</v>
      </c>
      <c r="W75" s="622">
        <f>(W73)+(W74)</f>
        <v>0</v>
      </c>
      <c r="X75" s="622">
        <f>(X73)+(X74)</f>
        <v>0</v>
      </c>
      <c r="Y75" s="622">
        <f t="shared" si="16"/>
        <v>0</v>
      </c>
      <c r="Z75" s="622">
        <f t="shared" si="17"/>
        <v>9400</v>
      </c>
    </row>
    <row r="76" spans="1:26">
      <c r="A76" s="478" t="e" cm="1">
        <f t="array" ref="A76">INDEX('Master Mapping'!O:O, MATCH(TRUE, EXACT(TEXT(LEFT(TRIM(B76), 7), "@"), 'Master Mapping'!A:A), 0))</f>
        <v>#N/A</v>
      </c>
      <c r="B76" s="619" t="s">
        <v>566</v>
      </c>
      <c r="C76" s="623"/>
      <c r="D76" s="623"/>
      <c r="E76" s="623"/>
      <c r="F76" s="623"/>
      <c r="G76" s="624">
        <f t="shared" si="32"/>
        <v>0</v>
      </c>
      <c r="H76" s="622">
        <f t="shared" ref="H76:N76" si="37">((((H36)+(H66))+(H69))+(H72))+(H75)</f>
        <v>0</v>
      </c>
      <c r="I76" s="622">
        <f t="shared" si="37"/>
        <v>77891</v>
      </c>
      <c r="J76" s="622">
        <f t="shared" si="37"/>
        <v>0</v>
      </c>
      <c r="K76" s="622">
        <f t="shared" si="37"/>
        <v>0</v>
      </c>
      <c r="L76" s="622">
        <f t="shared" si="37"/>
        <v>0</v>
      </c>
      <c r="M76" s="622">
        <f t="shared" si="37"/>
        <v>17029.66</v>
      </c>
      <c r="N76" s="622">
        <f t="shared" si="37"/>
        <v>1895</v>
      </c>
      <c r="O76" s="622">
        <f t="shared" si="14"/>
        <v>96815.66</v>
      </c>
      <c r="P76" s="622">
        <f t="shared" ref="P76:U76" si="38">((((P36)+(P66))+(P69))+(P72))+(P75)</f>
        <v>0</v>
      </c>
      <c r="Q76" s="622">
        <f t="shared" si="38"/>
        <v>37707.990000000005</v>
      </c>
      <c r="R76" s="622">
        <f t="shared" si="38"/>
        <v>17261.489999999998</v>
      </c>
      <c r="S76" s="622">
        <f t="shared" si="38"/>
        <v>161236.25</v>
      </c>
      <c r="T76" s="622">
        <f t="shared" si="38"/>
        <v>11923</v>
      </c>
      <c r="U76" s="622">
        <f t="shared" si="38"/>
        <v>6584.74</v>
      </c>
      <c r="V76" s="622">
        <f t="shared" si="15"/>
        <v>234713.47</v>
      </c>
      <c r="W76" s="622">
        <f>((((W36)+(W66))+(W69))+(W72))+(W75)</f>
        <v>0</v>
      </c>
      <c r="X76" s="622">
        <f>((((X36)+(X66))+(X69))+(X72))+(X75)</f>
        <v>64348.119999999995</v>
      </c>
      <c r="Y76" s="622">
        <f t="shared" si="16"/>
        <v>64348.119999999995</v>
      </c>
      <c r="Z76" s="622">
        <f t="shared" si="17"/>
        <v>395877.25</v>
      </c>
    </row>
    <row r="77" spans="1:26">
      <c r="A77" s="478" t="e" cm="1">
        <f t="array" ref="A77">INDEX('Master Mapping'!O:O, MATCH(TRUE, EXACT(TEXT(LEFT(TRIM(B77), 7), "@"), 'Master Mapping'!A:A), 0))</f>
        <v>#N/A</v>
      </c>
      <c r="B77" s="619" t="s">
        <v>567</v>
      </c>
      <c r="C77" s="623"/>
      <c r="D77" s="623"/>
      <c r="E77" s="623"/>
      <c r="F77" s="623"/>
      <c r="G77" s="624">
        <f t="shared" si="32"/>
        <v>0</v>
      </c>
      <c r="H77" s="622">
        <f t="shared" ref="H77:N77" si="39">(H21)-(H76)</f>
        <v>0</v>
      </c>
      <c r="I77" s="622">
        <f t="shared" si="39"/>
        <v>154664</v>
      </c>
      <c r="J77" s="622">
        <f t="shared" si="39"/>
        <v>15989</v>
      </c>
      <c r="K77" s="622">
        <f t="shared" si="39"/>
        <v>169996</v>
      </c>
      <c r="L77" s="622">
        <f t="shared" si="39"/>
        <v>6706</v>
      </c>
      <c r="M77" s="622">
        <f t="shared" si="39"/>
        <v>-4865.66</v>
      </c>
      <c r="N77" s="622">
        <f t="shared" si="39"/>
        <v>0</v>
      </c>
      <c r="O77" s="622">
        <f t="shared" si="14"/>
        <v>342489.34</v>
      </c>
      <c r="P77" s="622">
        <f t="shared" ref="P77:U77" si="40">(P21)-(P76)</f>
        <v>0</v>
      </c>
      <c r="Q77" s="622">
        <f t="shared" si="40"/>
        <v>-7834.9900000000052</v>
      </c>
      <c r="R77" s="622">
        <f t="shared" si="40"/>
        <v>-7519.489999999998</v>
      </c>
      <c r="S77" s="622">
        <f t="shared" si="40"/>
        <v>-28236.25</v>
      </c>
      <c r="T77" s="622">
        <f t="shared" si="40"/>
        <v>0</v>
      </c>
      <c r="U77" s="622">
        <f t="shared" si="40"/>
        <v>-1958.7399999999998</v>
      </c>
      <c r="V77" s="622">
        <f t="shared" si="15"/>
        <v>-45549.47</v>
      </c>
      <c r="W77" s="622">
        <f>(W21)-(W76)</f>
        <v>0</v>
      </c>
      <c r="X77" s="622">
        <f>(X21)-(X76)</f>
        <v>67485.270000000019</v>
      </c>
      <c r="Y77" s="622">
        <f t="shared" si="16"/>
        <v>67485.270000000019</v>
      </c>
      <c r="Z77" s="622">
        <f t="shared" si="17"/>
        <v>364425.14</v>
      </c>
    </row>
    <row r="78" spans="1:26">
      <c r="A78" s="478" t="e" cm="1">
        <f t="array" ref="A78">INDEX('Master Mapping'!O:O, MATCH(TRUE, EXACT(TEXT(LEFT(TRIM(B78), 7), "@"), 'Master Mapping'!A:A), 0))</f>
        <v>#N/A</v>
      </c>
      <c r="B78" s="619" t="s">
        <v>568</v>
      </c>
      <c r="C78" s="623"/>
      <c r="D78" s="623"/>
      <c r="E78" s="623"/>
      <c r="F78" s="623"/>
      <c r="G78" s="624">
        <f t="shared" si="32"/>
        <v>0</v>
      </c>
      <c r="H78" s="622">
        <f t="shared" ref="H78:N78" si="41">(H77)+(0)</f>
        <v>0</v>
      </c>
      <c r="I78" s="622">
        <f t="shared" si="41"/>
        <v>154664</v>
      </c>
      <c r="J78" s="622">
        <f t="shared" si="41"/>
        <v>15989</v>
      </c>
      <c r="K78" s="622">
        <f t="shared" si="41"/>
        <v>169996</v>
      </c>
      <c r="L78" s="622">
        <f t="shared" si="41"/>
        <v>6706</v>
      </c>
      <c r="M78" s="622">
        <f t="shared" si="41"/>
        <v>-4865.66</v>
      </c>
      <c r="N78" s="622">
        <f t="shared" si="41"/>
        <v>0</v>
      </c>
      <c r="O78" s="622">
        <f t="shared" si="14"/>
        <v>342489.34</v>
      </c>
      <c r="P78" s="622">
        <f t="shared" ref="P78:U78" si="42">(P77)+(0)</f>
        <v>0</v>
      </c>
      <c r="Q78" s="622">
        <f t="shared" si="42"/>
        <v>-7834.9900000000052</v>
      </c>
      <c r="R78" s="622">
        <f t="shared" si="42"/>
        <v>-7519.489999999998</v>
      </c>
      <c r="S78" s="622">
        <f t="shared" si="42"/>
        <v>-28236.25</v>
      </c>
      <c r="T78" s="622">
        <f t="shared" si="42"/>
        <v>0</v>
      </c>
      <c r="U78" s="622">
        <f t="shared" si="42"/>
        <v>-1958.7399999999998</v>
      </c>
      <c r="V78" s="622">
        <f t="shared" si="15"/>
        <v>-45549.47</v>
      </c>
      <c r="W78" s="622">
        <f>(W77)+(0)</f>
        <v>0</v>
      </c>
      <c r="X78" s="622">
        <f>(X77)+(0)</f>
        <v>67485.270000000019</v>
      </c>
      <c r="Y78" s="622">
        <f t="shared" si="16"/>
        <v>67485.270000000019</v>
      </c>
      <c r="Z78" s="622">
        <f t="shared" si="17"/>
        <v>364425.14</v>
      </c>
    </row>
    <row r="79" spans="1:26">
      <c r="B79" s="619"/>
      <c r="C79" s="620"/>
      <c r="D79" s="620"/>
      <c r="E79" s="620"/>
      <c r="F79" s="620"/>
      <c r="G79" s="620"/>
      <c r="H79" s="620"/>
      <c r="I79" s="620"/>
      <c r="J79" s="620"/>
      <c r="K79" s="620"/>
      <c r="L79" s="620"/>
      <c r="M79" s="620"/>
      <c r="N79" s="620"/>
      <c r="O79" s="620"/>
      <c r="P79" s="620"/>
      <c r="Q79" s="620"/>
      <c r="R79" s="620"/>
      <c r="S79" s="620"/>
      <c r="T79" s="620"/>
      <c r="U79" s="620"/>
      <c r="V79" s="620"/>
      <c r="W79" s="620"/>
      <c r="X79" s="620"/>
      <c r="Y79" s="620"/>
      <c r="Z79" s="620"/>
    </row>
    <row r="82" spans="2:26">
      <c r="B82" s="815" t="s">
        <v>4318</v>
      </c>
      <c r="C82" s="795"/>
      <c r="D82" s="795"/>
      <c r="E82" s="795"/>
      <c r="F82" s="795"/>
      <c r="G82" s="795"/>
      <c r="H82" s="795"/>
      <c r="I82" s="795"/>
      <c r="J82" s="795"/>
      <c r="K82" s="795"/>
      <c r="L82" s="795"/>
      <c r="M82" s="795"/>
      <c r="N82" s="795"/>
      <c r="O82" s="795"/>
      <c r="P82" s="795"/>
      <c r="Q82" s="795"/>
      <c r="R82" s="795"/>
      <c r="S82" s="795"/>
      <c r="T82" s="795"/>
      <c r="U82" s="795"/>
      <c r="V82" s="795"/>
      <c r="W82" s="795"/>
      <c r="X82" s="795"/>
      <c r="Y82" s="795"/>
      <c r="Z82" s="795"/>
    </row>
  </sheetData>
  <mergeCells count="1">
    <mergeCell ref="B82:Z8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0F9BE-E954-4E11-98E5-05CA6433A1C5}">
  <dimension ref="A1:E154"/>
  <sheetViews>
    <sheetView topLeftCell="A39" workbookViewId="0">
      <selection activeCell="A46" sqref="A46"/>
    </sheetView>
  </sheetViews>
  <sheetFormatPr defaultRowHeight="15.5"/>
  <cols>
    <col min="1" max="1" width="7.69140625" bestFit="1" customWidth="1"/>
    <col min="2" max="3" width="10.07421875" bestFit="1" customWidth="1"/>
    <col min="4" max="4" width="51.4609375" customWidth="1"/>
    <col min="5" max="5" width="18" customWidth="1"/>
  </cols>
  <sheetData>
    <row r="1" spans="1:5" ht="29.5">
      <c r="A1" s="625" t="s">
        <v>742</v>
      </c>
      <c r="B1" s="625" t="s">
        <v>605</v>
      </c>
      <c r="C1" s="616" t="s">
        <v>606</v>
      </c>
      <c r="D1" s="626" t="s">
        <v>4286</v>
      </c>
    </row>
    <row r="2" spans="1:5" ht="18">
      <c r="A2" s="478"/>
      <c r="B2" s="478"/>
      <c r="C2" s="478"/>
      <c r="D2" s="626" t="s">
        <v>4287</v>
      </c>
    </row>
    <row r="3" spans="1:5">
      <c r="A3" s="478"/>
      <c r="B3" s="478"/>
      <c r="C3" s="478"/>
      <c r="D3" s="627" t="s">
        <v>4288</v>
      </c>
    </row>
    <row r="4" spans="1:5">
      <c r="A4" s="478"/>
      <c r="B4" s="478"/>
      <c r="C4" s="478"/>
    </row>
    <row r="5" spans="1:5">
      <c r="A5" s="478"/>
      <c r="B5" s="478"/>
      <c r="C5" s="478"/>
      <c r="D5" s="494"/>
      <c r="E5" s="618" t="s">
        <v>4289</v>
      </c>
    </row>
    <row r="6" spans="1:5">
      <c r="A6" s="478"/>
      <c r="B6" s="478"/>
      <c r="C6" s="478"/>
      <c r="D6" s="619" t="s">
        <v>441</v>
      </c>
      <c r="E6" s="620"/>
    </row>
    <row r="7" spans="1:5">
      <c r="A7" s="478"/>
      <c r="B7" s="478"/>
      <c r="C7" s="478"/>
      <c r="D7" s="619" t="s">
        <v>442</v>
      </c>
      <c r="E7" s="620"/>
    </row>
    <row r="8" spans="1:5">
      <c r="A8" s="478" cm="1">
        <f t="array" ref="A8">INDEX('Master Mapping'!O:O, MATCH(TRUE, EXACT(TEXT(LEFT(TRIM(D8), 7), "@"), 'Master Mapping'!A:A), 0))</f>
        <v>1</v>
      </c>
      <c r="B8" s="617">
        <f>E8-C8</f>
        <v>703197</v>
      </c>
      <c r="C8" s="617">
        <f>IFERROR(INDEX('P&amp;L SR 1'!A:ZZ, MATCH(D8, 'P&amp;L SR 1'!B:B, 0), MATCH("TOTAL", 'P&amp;L SR 1'!$5:$5, 0)), 0)</f>
        <v>0</v>
      </c>
      <c r="D8" s="619" t="s">
        <v>265</v>
      </c>
      <c r="E8" s="621">
        <f>703197</f>
        <v>703197</v>
      </c>
    </row>
    <row r="9" spans="1:5">
      <c r="A9" s="478" cm="1">
        <f t="array" ref="A9">INDEX('Master Mapping'!O:O, MATCH(TRUE, EXACT(TEXT(LEFT(TRIM(D9), 7), "@"), 'Master Mapping'!A:A), 0))</f>
        <v>1</v>
      </c>
      <c r="B9" s="617">
        <f t="shared" ref="B9:B72" si="0">E9-C9</f>
        <v>101.29</v>
      </c>
      <c r="C9" s="617">
        <f>IFERROR(INDEX('P&amp;L SR 1'!A:ZZ, MATCH(D9, 'P&amp;L SR 1'!B:B, 0), MATCH("TOTAL", 'P&amp;L SR 1'!$5:$5, 0)), 0)</f>
        <v>0</v>
      </c>
      <c r="D9" s="619" t="s">
        <v>443</v>
      </c>
      <c r="E9" s="621">
        <f>101.29</f>
        <v>101.29</v>
      </c>
    </row>
    <row r="10" spans="1:5">
      <c r="A10" s="478" t="e" cm="1">
        <f t="array" ref="A10">INDEX('Master Mapping'!O:O, MATCH(TRUE, EXACT(TEXT(LEFT(TRIM(D10), 7), "@"), 'Master Mapping'!A:A), 0))</f>
        <v>#N/A</v>
      </c>
      <c r="B10" s="617">
        <f t="shared" si="0"/>
        <v>703298.29</v>
      </c>
      <c r="C10" s="617">
        <f>IFERROR(INDEX('P&amp;L SR 1'!A:ZZ, MATCH(D10, 'P&amp;L SR 1'!B:B, 0), MATCH("TOTAL", 'P&amp;L SR 1'!$5:$5, 0)), 0)</f>
        <v>0</v>
      </c>
      <c r="D10" s="619" t="s">
        <v>444</v>
      </c>
      <c r="E10" s="622">
        <f>((E7)+(E8))+(E9)</f>
        <v>703298.29</v>
      </c>
    </row>
    <row r="11" spans="1:5">
      <c r="A11" s="478" t="e" cm="1">
        <f t="array" ref="A11">INDEX('Master Mapping'!O:O, MATCH(TRUE, EXACT(TEXT(LEFT(TRIM(D11), 7), "@"), 'Master Mapping'!A:A), 0))</f>
        <v>#N/A</v>
      </c>
      <c r="B11" s="617">
        <f t="shared" si="0"/>
        <v>0</v>
      </c>
      <c r="C11" s="617">
        <f>IFERROR(INDEX('P&amp;L SR 1'!A:ZZ, MATCH(D11, 'P&amp;L SR 1'!B:B, 0), MATCH("TOTAL", 'P&amp;L SR 1'!$5:$5, 0)), 0)</f>
        <v>0</v>
      </c>
      <c r="D11" s="619" t="s">
        <v>445</v>
      </c>
      <c r="E11" s="620"/>
    </row>
    <row r="12" spans="1:5">
      <c r="A12" s="478" cm="1">
        <f t="array" ref="A12">INDEX('Master Mapping'!O:O, MATCH(TRUE, EXACT(TEXT(LEFT(TRIM(D12), 7), "@"), 'Master Mapping'!A:A), 0))</f>
        <v>3</v>
      </c>
      <c r="B12" s="617">
        <f t="shared" si="0"/>
        <v>416565</v>
      </c>
      <c r="C12" s="617">
        <f>IFERROR(INDEX('P&amp;L SR 1'!A:ZZ, MATCH(D12, 'P&amp;L SR 1'!B:B, 0), MATCH("TOTAL", 'P&amp;L SR 1'!$5:$5, 0)), 0)</f>
        <v>0</v>
      </c>
      <c r="D12" s="619" t="s">
        <v>266</v>
      </c>
      <c r="E12" s="621">
        <f>416565</f>
        <v>416565</v>
      </c>
    </row>
    <row r="13" spans="1:5">
      <c r="A13" s="478" cm="1">
        <f t="array" ref="A13">INDEX('Master Mapping'!O:O, MATCH(TRUE, EXACT(TEXT(LEFT(TRIM(D13), 7), "@"), 'Master Mapping'!A:A), 0))</f>
        <v>2</v>
      </c>
      <c r="B13" s="617">
        <f t="shared" si="0"/>
        <v>43524</v>
      </c>
      <c r="C13" s="617">
        <f>IFERROR(INDEX('P&amp;L SR 1'!A:ZZ, MATCH(D13, 'P&amp;L SR 1'!B:B, 0), MATCH("TOTAL", 'P&amp;L SR 1'!$5:$5, 0)), 0)</f>
        <v>0</v>
      </c>
      <c r="D13" s="619" t="s">
        <v>582</v>
      </c>
      <c r="E13" s="621">
        <f>43524</f>
        <v>43524</v>
      </c>
    </row>
    <row r="14" spans="1:5">
      <c r="A14" s="478" cm="1">
        <f t="array" ref="A14">INDEX('Master Mapping'!O:O, MATCH(TRUE, EXACT(TEXT(LEFT(TRIM(D14), 7), "@"), 'Master Mapping'!A:A), 0))</f>
        <v>2</v>
      </c>
      <c r="B14" s="617">
        <f t="shared" si="0"/>
        <v>126612</v>
      </c>
      <c r="C14" s="617">
        <f>IFERROR(INDEX('P&amp;L SR 1'!A:ZZ, MATCH(D14, 'P&amp;L SR 1'!B:B, 0), MATCH("TOTAL", 'P&amp;L SR 1'!$5:$5, 0)), 0)</f>
        <v>0</v>
      </c>
      <c r="D14" s="619" t="s">
        <v>446</v>
      </c>
      <c r="E14" s="621">
        <f>126612</f>
        <v>126612</v>
      </c>
    </row>
    <row r="15" spans="1:5">
      <c r="A15" s="478" t="e" cm="1">
        <f t="array" ref="A15">INDEX('Master Mapping'!O:O, MATCH(TRUE, EXACT(TEXT(LEFT(TRIM(D15), 7), "@"), 'Master Mapping'!A:A), 0))</f>
        <v>#N/A</v>
      </c>
      <c r="B15" s="617">
        <f t="shared" si="0"/>
        <v>586701</v>
      </c>
      <c r="C15" s="617">
        <f>IFERROR(INDEX('P&amp;L SR 1'!A:ZZ, MATCH(D15, 'P&amp;L SR 1'!B:B, 0), MATCH("TOTAL", 'P&amp;L SR 1'!$5:$5, 0)), 0)</f>
        <v>0</v>
      </c>
      <c r="D15" s="619" t="s">
        <v>447</v>
      </c>
      <c r="E15" s="622">
        <f>(((E11)+(E12))+(E13))+(E14)</f>
        <v>586701</v>
      </c>
    </row>
    <row r="16" spans="1:5">
      <c r="A16" s="478" t="e" cm="1">
        <f t="array" ref="A16">INDEX('Master Mapping'!O:O, MATCH(TRUE, EXACT(TEXT(LEFT(TRIM(D16), 7), "@"), 'Master Mapping'!A:A), 0))</f>
        <v>#N/A</v>
      </c>
      <c r="B16" s="617">
        <f t="shared" si="0"/>
        <v>0</v>
      </c>
      <c r="C16" s="617">
        <f>IFERROR(INDEX('P&amp;L SR 1'!A:ZZ, MATCH(D16, 'P&amp;L SR 1'!B:B, 0), MATCH("TOTAL", 'P&amp;L SR 1'!$5:$5, 0)), 0)</f>
        <v>0</v>
      </c>
      <c r="D16" s="619" t="s">
        <v>448</v>
      </c>
      <c r="E16" s="620"/>
    </row>
    <row r="17" spans="1:5">
      <c r="A17" s="478" cm="1">
        <f t="array" ref="A17">INDEX('Master Mapping'!O:O, MATCH(TRUE, EXACT(TEXT(LEFT(TRIM(D17), 7), "@"), 'Master Mapping'!A:A), 0))</f>
        <v>5</v>
      </c>
      <c r="B17" s="617">
        <f t="shared" si="0"/>
        <v>0</v>
      </c>
      <c r="C17" s="617">
        <f>IFERROR(INDEX('P&amp;L SR 1'!A:ZZ, MATCH(D17, 'P&amp;L SR 1'!B:B, 0), MATCH("TOTAL", 'P&amp;L SR 1'!$5:$5, 0)), 0)</f>
        <v>131833.39000000001</v>
      </c>
      <c r="D17" s="619" t="s">
        <v>449</v>
      </c>
      <c r="E17" s="621">
        <f>131833.39</f>
        <v>131833.39000000001</v>
      </c>
    </row>
    <row r="18" spans="1:5">
      <c r="A18" s="478" cm="1">
        <f t="array" ref="A18">INDEX('Master Mapping'!O:O, MATCH(TRUE, EXACT(TEXT(LEFT(TRIM(D18), 7), "@"), 'Master Mapping'!A:A), 0))</f>
        <v>5</v>
      </c>
      <c r="B18" s="617">
        <f t="shared" si="0"/>
        <v>0</v>
      </c>
      <c r="C18" s="617">
        <f>IFERROR(INDEX('P&amp;L SR 1'!A:ZZ, MATCH(D18, 'P&amp;L SR 1'!B:B, 0), MATCH("TOTAL", 'P&amp;L SR 1'!$5:$5, 0)), 0)</f>
        <v>12164</v>
      </c>
      <c r="D18" s="619" t="s">
        <v>268</v>
      </c>
      <c r="E18" s="621">
        <f>12164</f>
        <v>12164</v>
      </c>
    </row>
    <row r="19" spans="1:5">
      <c r="A19" s="478" cm="1">
        <f t="array" ref="A19">INDEX('Master Mapping'!O:O, MATCH(TRUE, EXACT(TEXT(LEFT(TRIM(D19), 7), "@"), 'Master Mapping'!A:A), 0))</f>
        <v>5</v>
      </c>
      <c r="B19" s="617">
        <f t="shared" si="0"/>
        <v>0</v>
      </c>
      <c r="C19" s="617">
        <f>IFERROR(INDEX('P&amp;L SR 1'!A:ZZ, MATCH(D19, 'P&amp;L SR 1'!B:B, 0), MATCH("TOTAL", 'P&amp;L SR 1'!$5:$5, 0)), 0)</f>
        <v>1895</v>
      </c>
      <c r="D19" s="619" t="s">
        <v>269</v>
      </c>
      <c r="E19" s="621">
        <f>1895</f>
        <v>1895</v>
      </c>
    </row>
    <row r="20" spans="1:5">
      <c r="A20" s="478" cm="1">
        <f t="array" ref="A20">INDEX('Master Mapping'!O:O, MATCH(TRUE, EXACT(TEXT(LEFT(TRIM(D20), 7), "@"), 'Master Mapping'!A:A), 0))</f>
        <v>5</v>
      </c>
      <c r="B20" s="617">
        <f t="shared" si="0"/>
        <v>0</v>
      </c>
      <c r="C20" s="617">
        <f>IFERROR(INDEX('P&amp;L SR 1'!A:ZZ, MATCH(D20, 'P&amp;L SR 1'!B:B, 0), MATCH("TOTAL", 'P&amp;L SR 1'!$5:$5, 0)), 0)</f>
        <v>133000</v>
      </c>
      <c r="D20" s="619" t="s">
        <v>450</v>
      </c>
      <c r="E20" s="621">
        <f>133000</f>
        <v>133000</v>
      </c>
    </row>
    <row r="21" spans="1:5">
      <c r="A21" s="478" cm="1">
        <f t="array" ref="A21">INDEX('Master Mapping'!O:O, MATCH(TRUE, EXACT(TEXT(LEFT(TRIM(D21), 7), "@"), 'Master Mapping'!A:A), 0))</f>
        <v>5</v>
      </c>
      <c r="B21" s="617">
        <f t="shared" si="0"/>
        <v>0</v>
      </c>
      <c r="C21" s="617">
        <f>IFERROR(INDEX('P&amp;L SR 1'!A:ZZ, MATCH(D21, 'P&amp;L SR 1'!B:B, 0), MATCH("TOTAL", 'P&amp;L SR 1'!$5:$5, 0)), 0)</f>
        <v>4626</v>
      </c>
      <c r="D21" s="619" t="s">
        <v>451</v>
      </c>
      <c r="E21" s="621">
        <f>4626</f>
        <v>4626</v>
      </c>
    </row>
    <row r="22" spans="1:5">
      <c r="A22" s="478" cm="1">
        <f t="array" ref="A22">INDEX('Master Mapping'!O:O, MATCH(TRUE, EXACT(TEXT(LEFT(TRIM(D22), 7), "@"), 'Master Mapping'!A:A), 0))</f>
        <v>5</v>
      </c>
      <c r="B22" s="617">
        <f t="shared" si="0"/>
        <v>0</v>
      </c>
      <c r="C22" s="617">
        <f>IFERROR(INDEX('P&amp;L SR 1'!A:ZZ, MATCH(D22, 'P&amp;L SR 1'!B:B, 0), MATCH("TOTAL", 'P&amp;L SR 1'!$5:$5, 0)), 0)</f>
        <v>11923</v>
      </c>
      <c r="D22" s="619" t="s">
        <v>278</v>
      </c>
      <c r="E22" s="621">
        <f>11923</f>
        <v>11923</v>
      </c>
    </row>
    <row r="23" spans="1:5">
      <c r="A23" s="478" cm="1">
        <f t="array" ref="A23">INDEX('Master Mapping'!O:O, MATCH(TRUE, EXACT(TEXT(LEFT(TRIM(D23), 7), "@"), 'Master Mapping'!A:A), 0))</f>
        <v>5</v>
      </c>
      <c r="B23" s="617">
        <f t="shared" si="0"/>
        <v>0</v>
      </c>
      <c r="C23" s="617">
        <f>IFERROR(INDEX('P&amp;L SR 1'!A:ZZ, MATCH(D23, 'P&amp;L SR 1'!B:B, 0), MATCH("TOTAL", 'P&amp;L SR 1'!$5:$5, 0)), 0)</f>
        <v>9742</v>
      </c>
      <c r="D23" s="619" t="s">
        <v>4290</v>
      </c>
      <c r="E23" s="621">
        <f>9742</f>
        <v>9742</v>
      </c>
    </row>
    <row r="24" spans="1:5">
      <c r="A24" s="478" cm="1">
        <f t="array" ref="A24">INDEX('Master Mapping'!O:O, MATCH(TRUE, EXACT(TEXT(LEFT(TRIM(D24), 7), "@"), 'Master Mapping'!A:A), 0))</f>
        <v>5</v>
      </c>
      <c r="B24" s="617">
        <f t="shared" si="0"/>
        <v>0</v>
      </c>
      <c r="C24" s="617">
        <f>IFERROR(INDEX('P&amp;L SR 1'!A:ZZ, MATCH(D24, 'P&amp;L SR 1'!B:B, 0), MATCH("TOTAL", 'P&amp;L SR 1'!$5:$5, 0)), 0)</f>
        <v>455119</v>
      </c>
      <c r="D24" s="619" t="s">
        <v>452</v>
      </c>
      <c r="E24" s="621">
        <f>455119</f>
        <v>455119</v>
      </c>
    </row>
    <row r="25" spans="1:5">
      <c r="A25" s="478" t="e" cm="1">
        <f t="array" ref="A25">INDEX('Master Mapping'!O:O, MATCH(TRUE, EXACT(TEXT(LEFT(TRIM(D25), 7), "@"), 'Master Mapping'!A:A), 0))</f>
        <v>#N/A</v>
      </c>
      <c r="B25" s="617">
        <f t="shared" si="0"/>
        <v>0</v>
      </c>
      <c r="C25" s="617">
        <f>IFERROR(INDEX('P&amp;L SR 1'!A:ZZ, MATCH(D25, 'P&amp;L SR 1'!B:B, 0), MATCH("TOTAL", 'P&amp;L SR 1'!$5:$5, 0)), 0)</f>
        <v>760302.39</v>
      </c>
      <c r="D25" s="619" t="s">
        <v>453</v>
      </c>
      <c r="E25" s="622">
        <f>((((((((E16)+(E17))+(E18))+(E19))+(E20))+(E21))+(E22))+(E23))+(E24)</f>
        <v>760302.39</v>
      </c>
    </row>
    <row r="26" spans="1:5">
      <c r="A26" s="478" cm="1">
        <f t="array" ref="A26">INDEX('Master Mapping'!O:O, MATCH(TRUE, EXACT(TEXT(LEFT(TRIM(D26), 7), "@"), 'Master Mapping'!A:A), 0))</f>
        <v>1</v>
      </c>
      <c r="B26" s="617">
        <f t="shared" si="0"/>
        <v>418.5</v>
      </c>
      <c r="C26" s="617">
        <f>IFERROR(INDEX('P&amp;L SR 1'!A:ZZ, MATCH(D26, 'P&amp;L SR 1'!B:B, 0), MATCH("TOTAL", 'P&amp;L SR 1'!$5:$5, 0)), 0)</f>
        <v>0</v>
      </c>
      <c r="D26" s="619" t="s">
        <v>4291</v>
      </c>
      <c r="E26" s="621">
        <f>418.5</f>
        <v>418.5</v>
      </c>
    </row>
    <row r="27" spans="1:5">
      <c r="A27" s="478" t="e" cm="1">
        <f t="array" ref="A27">INDEX('Master Mapping'!O:O, MATCH(TRUE, EXACT(TEXT(LEFT(TRIM(D27), 7), "@"), 'Master Mapping'!A:A), 0))</f>
        <v>#N/A</v>
      </c>
      <c r="B27" s="617">
        <f t="shared" si="0"/>
        <v>1290417.79</v>
      </c>
      <c r="C27" s="617">
        <f>IFERROR(INDEX('P&amp;L SR 1'!A:ZZ, MATCH(D27, 'P&amp;L SR 1'!B:B, 0), MATCH("TOTAL", 'P&amp;L SR 1'!$5:$5, 0)), 0)</f>
        <v>760302.39</v>
      </c>
      <c r="D27" s="619" t="s">
        <v>454</v>
      </c>
      <c r="E27" s="622">
        <f>(((E10)+(E15))+(E25))+(E26)</f>
        <v>2050720.1800000002</v>
      </c>
    </row>
    <row r="28" spans="1:5">
      <c r="A28" s="478" t="e" cm="1">
        <f t="array" ref="A28">INDEX('Master Mapping'!O:O, MATCH(TRUE, EXACT(TEXT(LEFT(TRIM(D28), 7), "@"), 'Master Mapping'!A:A), 0))</f>
        <v>#N/A</v>
      </c>
      <c r="B28" s="617">
        <f t="shared" si="0"/>
        <v>1290417.79</v>
      </c>
      <c r="C28" s="617">
        <f>IFERROR(INDEX('P&amp;L SR 1'!A:ZZ, MATCH(D28, 'P&amp;L SR 1'!B:B, 0), MATCH("TOTAL", 'P&amp;L SR 1'!$5:$5, 0)), 0)</f>
        <v>760302.39</v>
      </c>
      <c r="D28" s="619" t="s">
        <v>270</v>
      </c>
      <c r="E28" s="622">
        <f>(E27)-(0)</f>
        <v>2050720.1800000002</v>
      </c>
    </row>
    <row r="29" spans="1:5">
      <c r="A29" s="478" t="e" cm="1">
        <f t="array" ref="A29">INDEX('Master Mapping'!O:O, MATCH(TRUE, EXACT(TEXT(LEFT(TRIM(D29), 7), "@"), 'Master Mapping'!A:A), 0))</f>
        <v>#N/A</v>
      </c>
      <c r="B29" s="617">
        <f t="shared" si="0"/>
        <v>0</v>
      </c>
      <c r="C29" s="617">
        <f>IFERROR(INDEX('P&amp;L SR 1'!A:ZZ, MATCH(D29, 'P&amp;L SR 1'!B:B, 0), MATCH("TOTAL", 'P&amp;L SR 1'!$5:$5, 0)), 0)</f>
        <v>0</v>
      </c>
      <c r="D29" s="619" t="s">
        <v>243</v>
      </c>
      <c r="E29" s="620"/>
    </row>
    <row r="30" spans="1:5">
      <c r="A30" s="478" t="e" cm="1">
        <f t="array" ref="A30">INDEX('Master Mapping'!O:O, MATCH(TRUE, EXACT(TEXT(LEFT(TRIM(D30), 7), "@"), 'Master Mapping'!A:A), 0))</f>
        <v>#N/A</v>
      </c>
      <c r="B30" s="617">
        <f t="shared" si="0"/>
        <v>0</v>
      </c>
      <c r="C30" s="617">
        <f>IFERROR(INDEX('P&amp;L SR 1'!A:ZZ, MATCH(D30, 'P&amp;L SR 1'!B:B, 0), MATCH("TOTAL", 'P&amp;L SR 1'!$5:$5, 0)), 0)</f>
        <v>0</v>
      </c>
      <c r="D30" s="619" t="s">
        <v>455</v>
      </c>
      <c r="E30" s="620"/>
    </row>
    <row r="31" spans="1:5">
      <c r="A31" s="478" cm="1">
        <f t="array" ref="A31">INDEX('Master Mapping'!O:O, MATCH(TRUE, EXACT(TEXT(LEFT(TRIM(D31), 7), "@"), 'Master Mapping'!A:A), 0))</f>
        <v>13</v>
      </c>
      <c r="B31" s="617">
        <f t="shared" si="0"/>
        <v>18684.330000000002</v>
      </c>
      <c r="C31" s="617">
        <f>IFERROR(INDEX('P&amp;L SR 1'!A:ZZ, MATCH(D31, 'P&amp;L SR 1'!B:B, 0), MATCH("TOTAL", 'P&amp;L SR 1'!$5:$5, 0)), 0)</f>
        <v>0</v>
      </c>
      <c r="D31" s="619" t="s">
        <v>456</v>
      </c>
      <c r="E31" s="621">
        <f>18684.33</f>
        <v>18684.330000000002</v>
      </c>
    </row>
    <row r="32" spans="1:5">
      <c r="A32" s="478" cm="1">
        <f t="array" ref="A32">INDEX('Master Mapping'!O:O, MATCH(TRUE, EXACT(TEXT(LEFT(TRIM(D32), 7), "@"), 'Master Mapping'!A:A), 0))</f>
        <v>16</v>
      </c>
      <c r="B32" s="617">
        <f t="shared" si="0"/>
        <v>153270.64000000001</v>
      </c>
      <c r="C32" s="617">
        <f>IFERROR(INDEX('P&amp;L SR 1'!A:ZZ, MATCH(D32, 'P&amp;L SR 1'!B:B, 0), MATCH("TOTAL", 'P&amp;L SR 1'!$5:$5, 0)), 0)</f>
        <v>0</v>
      </c>
      <c r="D32" s="619" t="s">
        <v>457</v>
      </c>
      <c r="E32" s="621">
        <f>153270.64</f>
        <v>153270.64000000001</v>
      </c>
    </row>
    <row r="33" spans="1:5">
      <c r="A33" s="478" cm="1">
        <f t="array" ref="A33">INDEX('Master Mapping'!O:O, MATCH(TRUE, EXACT(TEXT(LEFT(TRIM(D33), 7), "@"), 'Master Mapping'!A:A), 0))</f>
        <v>16</v>
      </c>
      <c r="B33" s="617">
        <f t="shared" si="0"/>
        <v>48852.55</v>
      </c>
      <c r="C33" s="617">
        <f>IFERROR(INDEX('P&amp;L SR 1'!A:ZZ, MATCH(D33, 'P&amp;L SR 1'!B:B, 0), MATCH("TOTAL", 'P&amp;L SR 1'!$5:$5, 0)), 0)</f>
        <v>0</v>
      </c>
      <c r="D33" s="619" t="s">
        <v>458</v>
      </c>
      <c r="E33" s="621">
        <f>48852.55</f>
        <v>48852.55</v>
      </c>
    </row>
    <row r="34" spans="1:5">
      <c r="A34" s="478" cm="1">
        <f t="array" ref="A34">INDEX('Master Mapping'!O:O, MATCH(TRUE, EXACT(TEXT(LEFT(TRIM(D34), 7), "@"), 'Master Mapping'!A:A), 0))</f>
        <v>16</v>
      </c>
      <c r="B34" s="617">
        <f t="shared" si="0"/>
        <v>28715.59</v>
      </c>
      <c r="C34" s="617">
        <f>IFERROR(INDEX('P&amp;L SR 1'!A:ZZ, MATCH(D34, 'P&amp;L SR 1'!B:B, 0), MATCH("TOTAL", 'P&amp;L SR 1'!$5:$5, 0)), 0)</f>
        <v>12758.91</v>
      </c>
      <c r="D34" s="619" t="s">
        <v>459</v>
      </c>
      <c r="E34" s="621">
        <f>41474.5</f>
        <v>41474.5</v>
      </c>
    </row>
    <row r="35" spans="1:5">
      <c r="A35" s="478" cm="1">
        <f t="array" ref="A35">INDEX('Master Mapping'!O:O, MATCH(TRUE, EXACT(TEXT(LEFT(TRIM(D35), 7), "@"), 'Master Mapping'!A:A), 0))</f>
        <v>7</v>
      </c>
      <c r="B35" s="617">
        <f t="shared" si="0"/>
        <v>9674.58</v>
      </c>
      <c r="C35" s="617">
        <f>IFERROR(INDEX('P&amp;L SR 1'!A:ZZ, MATCH(D35, 'P&amp;L SR 1'!B:B, 0), MATCH("TOTAL", 'P&amp;L SR 1'!$5:$5, 0)), 0)</f>
        <v>14382.92</v>
      </c>
      <c r="D35" s="619" t="s">
        <v>583</v>
      </c>
      <c r="E35" s="621">
        <f>24057.5</f>
        <v>24057.5</v>
      </c>
    </row>
    <row r="36" spans="1:5">
      <c r="A36" s="478" cm="1">
        <f t="array" ref="A36">INDEX('Master Mapping'!O:O, MATCH(TRUE, EXACT(TEXT(LEFT(TRIM(D36), 7), "@"), 'Master Mapping'!A:A), 0))</f>
        <v>7</v>
      </c>
      <c r="B36" s="617">
        <f t="shared" si="0"/>
        <v>268338.89</v>
      </c>
      <c r="C36" s="617">
        <f>IFERROR(INDEX('P&amp;L SR 1'!A:ZZ, MATCH(D36, 'P&amp;L SR 1'!B:B, 0), MATCH("TOTAL", 'P&amp;L SR 1'!$5:$5, 0)), 0)</f>
        <v>188407.74999999997</v>
      </c>
      <c r="D36" s="619" t="s">
        <v>460</v>
      </c>
      <c r="E36" s="621">
        <f>456746.64</f>
        <v>456746.64</v>
      </c>
    </row>
    <row r="37" spans="1:5">
      <c r="A37" s="478" cm="1">
        <f t="array" ref="A37">INDEX('Master Mapping'!O:O, MATCH(TRUE, EXACT(TEXT(LEFT(TRIM(D37), 7), "@"), 'Master Mapping'!A:A), 0))</f>
        <v>8</v>
      </c>
      <c r="B37" s="617">
        <f t="shared" si="0"/>
        <v>65224.290000000008</v>
      </c>
      <c r="C37" s="617">
        <f>IFERROR(INDEX('P&amp;L SR 1'!A:ZZ, MATCH(D37, 'P&amp;L SR 1'!B:B, 0), MATCH("TOTAL", 'P&amp;L SR 1'!$5:$5, 0)), 0)</f>
        <v>38202.649999999994</v>
      </c>
      <c r="D37" s="619" t="s">
        <v>461</v>
      </c>
      <c r="E37" s="621">
        <f>103426.94</f>
        <v>103426.94</v>
      </c>
    </row>
    <row r="38" spans="1:5">
      <c r="A38" s="478" cm="1">
        <f t="array" ref="A38">INDEX('Master Mapping'!O:O, MATCH(TRUE, EXACT(TEXT(LEFT(TRIM(D38), 7), "@"), 'Master Mapping'!A:A), 0))</f>
        <v>11</v>
      </c>
      <c r="B38" s="617">
        <f t="shared" si="0"/>
        <v>22835.56</v>
      </c>
      <c r="C38" s="617">
        <f>IFERROR(INDEX('P&amp;L SR 1'!A:ZZ, MATCH(D38, 'P&amp;L SR 1'!B:B, 0), MATCH("TOTAL", 'P&amp;L SR 1'!$5:$5, 0)), 0)</f>
        <v>800</v>
      </c>
      <c r="D38" s="619" t="s">
        <v>584</v>
      </c>
      <c r="E38" s="621">
        <f>23635.56</f>
        <v>23635.56</v>
      </c>
    </row>
    <row r="39" spans="1:5">
      <c r="A39" s="478" cm="1">
        <f t="array" ref="A39">INDEX('Master Mapping'!O:O, MATCH(TRUE, EXACT(TEXT(LEFT(TRIM(D39), 7), "@"), 'Master Mapping'!A:A), 0))</f>
        <v>13</v>
      </c>
      <c r="B39" s="617">
        <f t="shared" si="0"/>
        <v>27908.9</v>
      </c>
      <c r="C39" s="617">
        <f>IFERROR(INDEX('P&amp;L SR 1'!A:ZZ, MATCH(D39, 'P&amp;L SR 1'!B:B, 0), MATCH("TOTAL", 'P&amp;L SR 1'!$5:$5, 0)), 0)</f>
        <v>800</v>
      </c>
      <c r="D39" s="619" t="s">
        <v>462</v>
      </c>
      <c r="E39" s="621">
        <f>28708.9</f>
        <v>28708.9</v>
      </c>
    </row>
    <row r="40" spans="1:5">
      <c r="A40" s="478" cm="1">
        <f t="array" ref="A40">INDEX('Master Mapping'!O:O, MATCH(TRUE, EXACT(TEXT(LEFT(TRIM(D40), 7), "@"), 'Master Mapping'!A:A), 0))</f>
        <v>14</v>
      </c>
      <c r="B40" s="617">
        <f t="shared" si="0"/>
        <v>20387.739999999998</v>
      </c>
      <c r="C40" s="617">
        <f>IFERROR(INDEX('P&amp;L SR 1'!A:ZZ, MATCH(D40, 'P&amp;L SR 1'!B:B, 0), MATCH("TOTAL", 'P&amp;L SR 1'!$5:$5, 0)), 0)</f>
        <v>15827.94</v>
      </c>
      <c r="D40" s="619" t="s">
        <v>463</v>
      </c>
      <c r="E40" s="621">
        <f>36215.68</f>
        <v>36215.68</v>
      </c>
    </row>
    <row r="41" spans="1:5">
      <c r="A41" s="478" cm="1">
        <f t="array" ref="A41">INDEX('Master Mapping'!O:O, MATCH(TRUE, EXACT(TEXT(LEFT(TRIM(D41), 7), "@"), 'Master Mapping'!A:A), 0))</f>
        <v>13</v>
      </c>
      <c r="B41" s="617">
        <f t="shared" si="0"/>
        <v>3064.46</v>
      </c>
      <c r="C41" s="617">
        <f>IFERROR(INDEX('P&amp;L SR 1'!A:ZZ, MATCH(D41, 'P&amp;L SR 1'!B:B, 0), MATCH("TOTAL", 'P&amp;L SR 1'!$5:$5, 0)), 0)</f>
        <v>0</v>
      </c>
      <c r="D41" s="619" t="s">
        <v>4292</v>
      </c>
      <c r="E41" s="621">
        <f>3064.46</f>
        <v>3064.46</v>
      </c>
    </row>
    <row r="42" spans="1:5">
      <c r="A42" s="478" cm="1">
        <f t="array" ref="A42">INDEX('Master Mapping'!O:O, MATCH(TRUE, EXACT(TEXT(LEFT(TRIM(D42), 7), "@"), 'Master Mapping'!A:A), 0))</f>
        <v>7</v>
      </c>
      <c r="B42" s="617">
        <f t="shared" si="0"/>
        <v>13438.350000000002</v>
      </c>
      <c r="C42" s="617">
        <f>IFERROR(INDEX('P&amp;L SR 1'!A:ZZ, MATCH(D42, 'P&amp;L SR 1'!B:B, 0), MATCH("TOTAL", 'P&amp;L SR 1'!$5:$5, 0)), 0)</f>
        <v>13574.3</v>
      </c>
      <c r="D42" s="619" t="s">
        <v>585</v>
      </c>
      <c r="E42" s="621">
        <f>27012.65</f>
        <v>27012.65</v>
      </c>
    </row>
    <row r="43" spans="1:5">
      <c r="A43" s="478" cm="1">
        <f t="array" ref="A43">INDEX('Master Mapping'!O:O, MATCH(TRUE, EXACT(TEXT(LEFT(TRIM(D43), 7), "@"), 'Master Mapping'!A:A), 0))</f>
        <v>18</v>
      </c>
      <c r="B43" s="617">
        <f t="shared" si="0"/>
        <v>39657.230000000003</v>
      </c>
      <c r="C43" s="617">
        <f>IFERROR(INDEX('P&amp;L SR 1'!A:ZZ, MATCH(D43, 'P&amp;L SR 1'!B:B, 0), MATCH("TOTAL", 'P&amp;L SR 1'!$5:$5, 0)), 0)</f>
        <v>0</v>
      </c>
      <c r="D43" s="619" t="s">
        <v>465</v>
      </c>
      <c r="E43" s="621">
        <f>39657.23</f>
        <v>39657.230000000003</v>
      </c>
    </row>
    <row r="44" spans="1:5">
      <c r="A44" s="478" t="e" cm="1">
        <f t="array" ref="A44">INDEX('Master Mapping'!O:O, MATCH(TRUE, EXACT(TEXT(LEFT(TRIM(D44), 7), "@"), 'Master Mapping'!A:A), 0))</f>
        <v>#N/A</v>
      </c>
      <c r="B44" s="617">
        <f t="shared" si="0"/>
        <v>720053.11000000022</v>
      </c>
      <c r="C44" s="617">
        <f>IFERROR(INDEX('P&amp;L SR 1'!A:ZZ, MATCH(D44, 'P&amp;L SR 1'!B:B, 0), MATCH("TOTAL", 'P&amp;L SR 1'!$5:$5, 0)), 0)</f>
        <v>284754.46999999997</v>
      </c>
      <c r="D44" s="619" t="s">
        <v>466</v>
      </c>
      <c r="E44" s="622">
        <f>(((((((((((((E30)+(E31))+(E32))+(E33))+(E34))+(E35))+(E36))+(E37))+(E38))+(E39))+(E40))+(E41))+(E42))+(E43)</f>
        <v>1004807.5800000002</v>
      </c>
    </row>
    <row r="45" spans="1:5">
      <c r="A45" s="478" t="e" cm="1">
        <f t="array" ref="A45">INDEX('Master Mapping'!O:O, MATCH(TRUE, EXACT(TEXT(LEFT(TRIM(D45), 7), "@"), 'Master Mapping'!A:A), 0))</f>
        <v>#N/A</v>
      </c>
      <c r="B45" s="617">
        <f t="shared" si="0"/>
        <v>0</v>
      </c>
      <c r="C45" s="617">
        <f>IFERROR(INDEX('P&amp;L SR 1'!A:ZZ, MATCH(D45, 'P&amp;L SR 1'!B:B, 0), MATCH("TOTAL", 'P&amp;L SR 1'!$5:$5, 0)), 0)</f>
        <v>0</v>
      </c>
      <c r="D45" s="619" t="s">
        <v>467</v>
      </c>
      <c r="E45" s="620"/>
    </row>
    <row r="46" spans="1:5">
      <c r="A46" s="478" t="e" cm="1">
        <f t="array" ref="A46">INDEX('Master Mapping'!O:O, MATCH(TRUE, EXACT(TEXT(LEFT(TRIM(D46), 7), "@"), 'Master Mapping'!A:A), 0))</f>
        <v>#N/A</v>
      </c>
      <c r="B46" s="617">
        <f t="shared" si="0"/>
        <v>0</v>
      </c>
      <c r="C46" s="617">
        <f>IFERROR(INDEX('P&amp;L SR 1'!A:ZZ, MATCH(D46, 'P&amp;L SR 1'!B:B, 0), MATCH("TOTAL", 'P&amp;L SR 1'!$5:$5, 0)), 0)</f>
        <v>0</v>
      </c>
      <c r="D46" s="619" t="s">
        <v>468</v>
      </c>
      <c r="E46" s="620"/>
    </row>
    <row r="47" spans="1:5">
      <c r="A47" s="478" cm="1">
        <f t="array" ref="A47">INDEX('Master Mapping'!O:O, MATCH(TRUE, EXACT(TEXT(LEFT(TRIM(D47), 7), "@"), 'Master Mapping'!A:A), 0))</f>
        <v>7</v>
      </c>
      <c r="B47" s="617">
        <f t="shared" si="0"/>
        <v>96501.6</v>
      </c>
      <c r="C47" s="617">
        <f>IFERROR(INDEX('P&amp;L SR 1'!A:ZZ, MATCH(D47, 'P&amp;L SR 1'!B:B, 0), MATCH("TOTAL", 'P&amp;L SR 1'!$5:$5, 0)), 0)</f>
        <v>19702.59</v>
      </c>
      <c r="D47" s="619" t="s">
        <v>469</v>
      </c>
      <c r="E47" s="621">
        <f>116204.19</f>
        <v>116204.19</v>
      </c>
    </row>
    <row r="48" spans="1:5">
      <c r="A48" s="478" cm="1">
        <f t="array" ref="A48">INDEX('Master Mapping'!O:O, MATCH(TRUE, EXACT(TEXT(LEFT(TRIM(D48), 7), "@"), 'Master Mapping'!A:A), 0))</f>
        <v>8</v>
      </c>
      <c r="B48" s="617">
        <f t="shared" si="0"/>
        <v>7966.13</v>
      </c>
      <c r="C48" s="617">
        <f>IFERROR(INDEX('P&amp;L SR 1'!A:ZZ, MATCH(D48, 'P&amp;L SR 1'!B:B, 0), MATCH("TOTAL", 'P&amp;L SR 1'!$5:$5, 0)), 0)</f>
        <v>0</v>
      </c>
      <c r="D48" s="619" t="s">
        <v>470</v>
      </c>
      <c r="E48" s="621">
        <f>7966.13</f>
        <v>7966.13</v>
      </c>
    </row>
    <row r="49" spans="1:5">
      <c r="A49" s="478" cm="1">
        <f t="array" ref="A49">INDEX('Master Mapping'!O:O, MATCH(TRUE, EXACT(TEXT(LEFT(TRIM(D49), 7), "@"), 'Master Mapping'!A:A), 0))</f>
        <v>11</v>
      </c>
      <c r="B49" s="617">
        <f t="shared" si="0"/>
        <v>193.77</v>
      </c>
      <c r="C49" s="617">
        <f>IFERROR(INDEX('P&amp;L SR 1'!A:ZZ, MATCH(D49, 'P&amp;L SR 1'!B:B, 0), MATCH("TOTAL", 'P&amp;L SR 1'!$5:$5, 0)), 0)</f>
        <v>0</v>
      </c>
      <c r="D49" s="619" t="s">
        <v>586</v>
      </c>
      <c r="E49" s="621">
        <f>193.77</f>
        <v>193.77</v>
      </c>
    </row>
    <row r="50" spans="1:5">
      <c r="A50" s="478" cm="1">
        <f t="array" ref="A50">INDEX('Master Mapping'!O:O, MATCH(TRUE, EXACT(TEXT(LEFT(TRIM(D50), 7), "@"), 'Master Mapping'!A:A), 0))</f>
        <v>13</v>
      </c>
      <c r="B50" s="617">
        <f t="shared" si="0"/>
        <v>255.73</v>
      </c>
      <c r="C50" s="617">
        <f>IFERROR(INDEX('P&amp;L SR 1'!A:ZZ, MATCH(D50, 'P&amp;L SR 1'!B:B, 0), MATCH("TOTAL", 'P&amp;L SR 1'!$5:$5, 0)), 0)</f>
        <v>0</v>
      </c>
      <c r="D50" s="619" t="s">
        <v>471</v>
      </c>
      <c r="E50" s="621">
        <f>255.73</f>
        <v>255.73</v>
      </c>
    </row>
    <row r="51" spans="1:5">
      <c r="A51" s="478" cm="1">
        <f t="array" ref="A51">INDEX('Master Mapping'!O:O, MATCH(TRUE, EXACT(TEXT(LEFT(TRIM(D51), 7), "@"), 'Master Mapping'!A:A), 0))</f>
        <v>13</v>
      </c>
      <c r="B51" s="617">
        <f t="shared" si="0"/>
        <v>1002.52</v>
      </c>
      <c r="C51" s="617">
        <f>IFERROR(INDEX('P&amp;L SR 1'!A:ZZ, MATCH(D51, 'P&amp;L SR 1'!B:B, 0), MATCH("TOTAL", 'P&amp;L SR 1'!$5:$5, 0)), 0)</f>
        <v>0</v>
      </c>
      <c r="D51" s="619" t="s">
        <v>472</v>
      </c>
      <c r="E51" s="621">
        <f>1002.52</f>
        <v>1002.52</v>
      </c>
    </row>
    <row r="52" spans="1:5">
      <c r="A52" s="478" cm="1">
        <f t="array" ref="A52">INDEX('Master Mapping'!O:O, MATCH(TRUE, EXACT(TEXT(LEFT(TRIM(D52), 7), "@"), 'Master Mapping'!A:A), 0))</f>
        <v>14</v>
      </c>
      <c r="B52" s="617">
        <f t="shared" si="0"/>
        <v>5063.5600000000004</v>
      </c>
      <c r="C52" s="617">
        <f>IFERROR(INDEX('P&amp;L SR 1'!A:ZZ, MATCH(D52, 'P&amp;L SR 1'!B:B, 0), MATCH("TOTAL", 'P&amp;L SR 1'!$5:$5, 0)), 0)</f>
        <v>2552.58</v>
      </c>
      <c r="D52" s="619" t="s">
        <v>473</v>
      </c>
      <c r="E52" s="621">
        <f>7616.14</f>
        <v>7616.14</v>
      </c>
    </row>
    <row r="53" spans="1:5">
      <c r="A53" s="478" cm="1">
        <f t="array" ref="A53">INDEX('Master Mapping'!O:O, MATCH(TRUE, EXACT(TEXT(LEFT(TRIM(D53), 7), "@"), 'Master Mapping'!A:A), 0))</f>
        <v>16</v>
      </c>
      <c r="B53" s="617">
        <f t="shared" si="0"/>
        <v>20652.47</v>
      </c>
      <c r="C53" s="617">
        <f>IFERROR(INDEX('P&amp;L SR 1'!A:ZZ, MATCH(D53, 'P&amp;L SR 1'!B:B, 0), MATCH("TOTAL", 'P&amp;L SR 1'!$5:$5, 0)), 0)</f>
        <v>0</v>
      </c>
      <c r="D53" s="619" t="s">
        <v>474</v>
      </c>
      <c r="E53" s="621">
        <f>20652.47</f>
        <v>20652.47</v>
      </c>
    </row>
    <row r="54" spans="1:5">
      <c r="A54" s="478" t="e" cm="1">
        <f t="array" ref="A54">INDEX('Master Mapping'!O:O, MATCH(TRUE, EXACT(TEXT(LEFT(TRIM(D54), 7), "@"), 'Master Mapping'!A:A), 0))</f>
        <v>#N/A</v>
      </c>
      <c r="B54" s="617">
        <f t="shared" si="0"/>
        <v>131635.78000000003</v>
      </c>
      <c r="C54" s="617">
        <f>IFERROR(INDEX('P&amp;L SR 1'!A:ZZ, MATCH(D54, 'P&amp;L SR 1'!B:B, 0), MATCH("TOTAL", 'P&amp;L SR 1'!$5:$5, 0)), 0)</f>
        <v>22255.17</v>
      </c>
      <c r="D54" s="619" t="s">
        <v>476</v>
      </c>
      <c r="E54" s="622">
        <f>(((((((E46)+(E47))+(E48))+(E49))+(E50))+(E51))+(E52))+(E53)</f>
        <v>153890.95000000001</v>
      </c>
    </row>
    <row r="55" spans="1:5">
      <c r="A55" s="478" t="e" cm="1">
        <f t="array" ref="A55">INDEX('Master Mapping'!O:O, MATCH(TRUE, EXACT(TEXT(LEFT(TRIM(D55), 7), "@"), 'Master Mapping'!A:A), 0))</f>
        <v>#N/A</v>
      </c>
      <c r="B55" s="617">
        <f t="shared" si="0"/>
        <v>0</v>
      </c>
      <c r="C55" s="617">
        <f>IFERROR(INDEX('P&amp;L SR 1'!A:ZZ, MATCH(D55, 'P&amp;L SR 1'!B:B, 0), MATCH("TOTAL", 'P&amp;L SR 1'!$5:$5, 0)), 0)</f>
        <v>0</v>
      </c>
      <c r="D55" s="619" t="s">
        <v>477</v>
      </c>
      <c r="E55" s="620"/>
    </row>
    <row r="56" spans="1:5">
      <c r="A56" s="478" cm="1">
        <f t="array" ref="A56">INDEX('Master Mapping'!O:O, MATCH(TRUE, EXACT(TEXT(LEFT(TRIM(D56), 7), "@"), 'Master Mapping'!A:A), 0))</f>
        <v>7</v>
      </c>
      <c r="B56" s="617">
        <f t="shared" si="0"/>
        <v>18738.190000000002</v>
      </c>
      <c r="C56" s="617">
        <f>IFERROR(INDEX('P&amp;L SR 1'!A:ZZ, MATCH(D56, 'P&amp;L SR 1'!B:B, 0), MATCH("TOTAL", 'P&amp;L SR 1'!$5:$5, 0)), 0)</f>
        <v>11450.05</v>
      </c>
      <c r="D56" s="619" t="s">
        <v>478</v>
      </c>
      <c r="E56" s="621">
        <f>30188.24</f>
        <v>30188.240000000002</v>
      </c>
    </row>
    <row r="57" spans="1:5">
      <c r="A57" s="478" cm="1">
        <f t="array" ref="A57">INDEX('Master Mapping'!O:O, MATCH(TRUE, EXACT(TEXT(LEFT(TRIM(D57), 7), "@"), 'Master Mapping'!A:A), 0))</f>
        <v>8</v>
      </c>
      <c r="B57" s="617">
        <f t="shared" si="0"/>
        <v>6161.7</v>
      </c>
      <c r="C57" s="617">
        <f>IFERROR(INDEX('P&amp;L SR 1'!A:ZZ, MATCH(D57, 'P&amp;L SR 1'!B:B, 0), MATCH("TOTAL", 'P&amp;L SR 1'!$5:$5, 0)), 0)</f>
        <v>0</v>
      </c>
      <c r="D57" s="619" t="s">
        <v>479</v>
      </c>
      <c r="E57" s="621">
        <f>6161.7</f>
        <v>6161.7</v>
      </c>
    </row>
    <row r="58" spans="1:5">
      <c r="A58" s="478" cm="1">
        <f t="array" ref="A58">INDEX('Master Mapping'!O:O, MATCH(TRUE, EXACT(TEXT(LEFT(TRIM(D58), 7), "@"), 'Master Mapping'!A:A), 0))</f>
        <v>11</v>
      </c>
      <c r="B58" s="617">
        <f t="shared" si="0"/>
        <v>1463.13</v>
      </c>
      <c r="C58" s="617">
        <f>IFERROR(INDEX('P&amp;L SR 1'!A:ZZ, MATCH(D58, 'P&amp;L SR 1'!B:B, 0), MATCH("TOTAL", 'P&amp;L SR 1'!$5:$5, 0)), 0)</f>
        <v>0</v>
      </c>
      <c r="D58" s="619" t="s">
        <v>587</v>
      </c>
      <c r="E58" s="621">
        <f>1463.13</f>
        <v>1463.13</v>
      </c>
    </row>
    <row r="59" spans="1:5">
      <c r="A59" s="478" cm="1">
        <f t="array" ref="A59">INDEX('Master Mapping'!O:O, MATCH(TRUE, EXACT(TEXT(LEFT(TRIM(D59), 7), "@"), 'Master Mapping'!A:A), 0))</f>
        <v>13</v>
      </c>
      <c r="B59" s="617">
        <f t="shared" si="0"/>
        <v>1664.3</v>
      </c>
      <c r="C59" s="617">
        <f>IFERROR(INDEX('P&amp;L SR 1'!A:ZZ, MATCH(D59, 'P&amp;L SR 1'!B:B, 0), MATCH("TOTAL", 'P&amp;L SR 1'!$5:$5, 0)), 0)</f>
        <v>0</v>
      </c>
      <c r="D59" s="619" t="s">
        <v>480</v>
      </c>
      <c r="E59" s="621">
        <f>1664.3</f>
        <v>1664.3</v>
      </c>
    </row>
    <row r="60" spans="1:5">
      <c r="A60" s="478" cm="1">
        <f t="array" ref="A60">INDEX('Master Mapping'!O:O, MATCH(TRUE, EXACT(TEXT(LEFT(TRIM(D60), 7), "@"), 'Master Mapping'!A:A), 0))</f>
        <v>13</v>
      </c>
      <c r="B60" s="617">
        <f t="shared" si="0"/>
        <v>1421.81</v>
      </c>
      <c r="C60" s="617">
        <f>IFERROR(INDEX('P&amp;L SR 1'!A:ZZ, MATCH(D60, 'P&amp;L SR 1'!B:B, 0), MATCH("TOTAL", 'P&amp;L SR 1'!$5:$5, 0)), 0)</f>
        <v>0</v>
      </c>
      <c r="D60" s="619" t="s">
        <v>481</v>
      </c>
      <c r="E60" s="621">
        <f>1421.81</f>
        <v>1421.81</v>
      </c>
    </row>
    <row r="61" spans="1:5">
      <c r="A61" s="478" cm="1">
        <f t="array" ref="A61">INDEX('Master Mapping'!O:O, MATCH(TRUE, EXACT(TEXT(LEFT(TRIM(D61), 7), "@"), 'Master Mapping'!A:A), 0))</f>
        <v>14</v>
      </c>
      <c r="B61" s="617">
        <f t="shared" si="0"/>
        <v>1181.6100000000001</v>
      </c>
      <c r="C61" s="617">
        <f>IFERROR(INDEX('P&amp;L SR 1'!A:ZZ, MATCH(D61, 'P&amp;L SR 1'!B:B, 0), MATCH("TOTAL", 'P&amp;L SR 1'!$5:$5, 0)), 0)</f>
        <v>803.64</v>
      </c>
      <c r="D61" s="619" t="s">
        <v>482</v>
      </c>
      <c r="E61" s="621">
        <f>1985.25</f>
        <v>1985.25</v>
      </c>
    </row>
    <row r="62" spans="1:5">
      <c r="A62" s="478" cm="1">
        <f t="array" ref="A62">INDEX('Master Mapping'!O:O, MATCH(TRUE, EXACT(TEXT(LEFT(TRIM(D62), 7), "@"), 'Master Mapping'!A:A), 0))</f>
        <v>16</v>
      </c>
      <c r="B62" s="617">
        <f t="shared" si="0"/>
        <v>14305.7</v>
      </c>
      <c r="C62" s="617">
        <f>IFERROR(INDEX('P&amp;L SR 1'!A:ZZ, MATCH(D62, 'P&amp;L SR 1'!B:B, 0), MATCH("TOTAL", 'P&amp;L SR 1'!$5:$5, 0)), 0)</f>
        <v>0</v>
      </c>
      <c r="D62" s="619" t="s">
        <v>483</v>
      </c>
      <c r="E62" s="621">
        <f>14305.7</f>
        <v>14305.7</v>
      </c>
    </row>
    <row r="63" spans="1:5">
      <c r="A63" s="478" cm="1">
        <f t="array" ref="A63">INDEX('Master Mapping'!O:O, MATCH(TRUE, EXACT(TEXT(LEFT(TRIM(D63), 7), "@"), 'Master Mapping'!A:A), 0))</f>
        <v>18</v>
      </c>
      <c r="B63" s="617">
        <f t="shared" si="0"/>
        <v>2458.7199999999998</v>
      </c>
      <c r="C63" s="617">
        <f>IFERROR(INDEX('P&amp;L SR 1'!A:ZZ, MATCH(D63, 'P&amp;L SR 1'!B:B, 0), MATCH("TOTAL", 'P&amp;L SR 1'!$5:$5, 0)), 0)</f>
        <v>0</v>
      </c>
      <c r="D63" s="619" t="s">
        <v>484</v>
      </c>
      <c r="E63" s="621">
        <f>2458.72</f>
        <v>2458.7199999999998</v>
      </c>
    </row>
    <row r="64" spans="1:5">
      <c r="A64" s="478" t="e" cm="1">
        <f t="array" ref="A64">INDEX('Master Mapping'!O:O, MATCH(TRUE, EXACT(TEXT(LEFT(TRIM(D64), 7), "@"), 'Master Mapping'!A:A), 0))</f>
        <v>#N/A</v>
      </c>
      <c r="B64" s="617">
        <f t="shared" si="0"/>
        <v>47395.16</v>
      </c>
      <c r="C64" s="617">
        <f>IFERROR(INDEX('P&amp;L SR 1'!A:ZZ, MATCH(D64, 'P&amp;L SR 1'!B:B, 0), MATCH("TOTAL", 'P&amp;L SR 1'!$5:$5, 0)), 0)</f>
        <v>12253.69</v>
      </c>
      <c r="D64" s="619" t="s">
        <v>485</v>
      </c>
      <c r="E64" s="622">
        <f>((((((((E55)+(E56))+(E57))+(E58))+(E59))+(E60))+(E61))+(E62))+(E63)</f>
        <v>59648.850000000006</v>
      </c>
    </row>
    <row r="65" spans="1:5">
      <c r="A65" s="478" t="e" cm="1">
        <f t="array" ref="A65">INDEX('Master Mapping'!O:O, MATCH(TRUE, EXACT(TEXT(LEFT(TRIM(D65), 7), "@"), 'Master Mapping'!A:A), 0))</f>
        <v>#N/A</v>
      </c>
      <c r="B65" s="617">
        <f t="shared" si="0"/>
        <v>0</v>
      </c>
      <c r="C65" s="617">
        <f>IFERROR(INDEX('P&amp;L SR 1'!A:ZZ, MATCH(D65, 'P&amp;L SR 1'!B:B, 0), MATCH("TOTAL", 'P&amp;L SR 1'!$5:$5, 0)), 0)</f>
        <v>0</v>
      </c>
      <c r="D65" s="619" t="s">
        <v>486</v>
      </c>
      <c r="E65" s="620"/>
    </row>
    <row r="66" spans="1:5">
      <c r="A66" s="478" cm="1">
        <f t="array" ref="A66">INDEX('Master Mapping'!O:O, MATCH(TRUE, EXACT(TEXT(LEFT(TRIM(D66), 7), "@"), 'Master Mapping'!A:A), 0))</f>
        <v>7</v>
      </c>
      <c r="B66" s="617">
        <f t="shared" si="0"/>
        <v>4382.369999999999</v>
      </c>
      <c r="C66" s="617">
        <f>IFERROR(INDEX('P&amp;L SR 1'!A:ZZ, MATCH(D66, 'P&amp;L SR 1'!B:B, 0), MATCH("TOTAL", 'P&amp;L SR 1'!$5:$5, 0)), 0)</f>
        <v>2677.86</v>
      </c>
      <c r="D66" s="619" t="s">
        <v>487</v>
      </c>
      <c r="E66" s="621">
        <f>7060.23</f>
        <v>7060.23</v>
      </c>
    </row>
    <row r="67" spans="1:5">
      <c r="A67" s="478" cm="1">
        <f t="array" ref="A67">INDEX('Master Mapping'!O:O, MATCH(TRUE, EXACT(TEXT(LEFT(TRIM(D67), 7), "@"), 'Master Mapping'!A:A), 0))</f>
        <v>8</v>
      </c>
      <c r="B67" s="617">
        <f t="shared" si="0"/>
        <v>1444.27</v>
      </c>
      <c r="C67" s="617">
        <f>IFERROR(INDEX('P&amp;L SR 1'!A:ZZ, MATCH(D67, 'P&amp;L SR 1'!B:B, 0), MATCH("TOTAL", 'P&amp;L SR 1'!$5:$5, 0)), 0)</f>
        <v>0</v>
      </c>
      <c r="D67" s="619" t="s">
        <v>488</v>
      </c>
      <c r="E67" s="621">
        <f>1444.27</f>
        <v>1444.27</v>
      </c>
    </row>
    <row r="68" spans="1:5">
      <c r="A68" s="478" cm="1">
        <f t="array" ref="A68">INDEX('Master Mapping'!O:O, MATCH(TRUE, EXACT(TEXT(LEFT(TRIM(D68), 7), "@"), 'Master Mapping'!A:A), 0))</f>
        <v>11</v>
      </c>
      <c r="B68" s="617">
        <f t="shared" si="0"/>
        <v>342.19</v>
      </c>
      <c r="C68" s="617">
        <f>IFERROR(INDEX('P&amp;L SR 1'!A:ZZ, MATCH(D68, 'P&amp;L SR 1'!B:B, 0), MATCH("TOTAL", 'P&amp;L SR 1'!$5:$5, 0)), 0)</f>
        <v>0</v>
      </c>
      <c r="D68" s="619" t="s">
        <v>588</v>
      </c>
      <c r="E68" s="621">
        <f>342.19</f>
        <v>342.19</v>
      </c>
    </row>
    <row r="69" spans="1:5">
      <c r="A69" s="478" cm="1">
        <f t="array" ref="A69">INDEX('Master Mapping'!O:O, MATCH(TRUE, EXACT(TEXT(LEFT(TRIM(D69), 7), "@"), 'Master Mapping'!A:A), 0))</f>
        <v>13</v>
      </c>
      <c r="B69" s="617">
        <f t="shared" si="0"/>
        <v>389.26</v>
      </c>
      <c r="C69" s="617">
        <f>IFERROR(INDEX('P&amp;L SR 1'!A:ZZ, MATCH(D69, 'P&amp;L SR 1'!B:B, 0), MATCH("TOTAL", 'P&amp;L SR 1'!$5:$5, 0)), 0)</f>
        <v>0</v>
      </c>
      <c r="D69" s="619" t="s">
        <v>489</v>
      </c>
      <c r="E69" s="621">
        <f>389.26</f>
        <v>389.26</v>
      </c>
    </row>
    <row r="70" spans="1:5">
      <c r="A70" s="478" cm="1">
        <f t="array" ref="A70">INDEX('Master Mapping'!O:O, MATCH(TRUE, EXACT(TEXT(LEFT(TRIM(D70), 7), "@"), 'Master Mapping'!A:A), 0))</f>
        <v>13</v>
      </c>
      <c r="B70" s="617">
        <f t="shared" si="0"/>
        <v>332.53</v>
      </c>
      <c r="C70" s="617">
        <f>IFERROR(INDEX('P&amp;L SR 1'!A:ZZ, MATCH(D70, 'P&amp;L SR 1'!B:B, 0), MATCH("TOTAL", 'P&amp;L SR 1'!$5:$5, 0)), 0)</f>
        <v>0</v>
      </c>
      <c r="D70" s="619" t="s">
        <v>490</v>
      </c>
      <c r="E70" s="621">
        <f>332.53</f>
        <v>332.53</v>
      </c>
    </row>
    <row r="71" spans="1:5">
      <c r="A71" s="478" cm="1">
        <f t="array" ref="A71">INDEX('Master Mapping'!O:O, MATCH(TRUE, EXACT(TEXT(LEFT(TRIM(D71), 7), "@"), 'Master Mapping'!A:A), 0))</f>
        <v>14</v>
      </c>
      <c r="B71" s="617">
        <f t="shared" si="0"/>
        <v>276.35000000000002</v>
      </c>
      <c r="C71" s="617">
        <f>IFERROR(INDEX('P&amp;L SR 1'!A:ZZ, MATCH(D71, 'P&amp;L SR 1'!B:B, 0), MATCH("TOTAL", 'P&amp;L SR 1'!$5:$5, 0)), 0)</f>
        <v>187.94</v>
      </c>
      <c r="D71" s="619" t="s">
        <v>491</v>
      </c>
      <c r="E71" s="621">
        <f>464.29</f>
        <v>464.29</v>
      </c>
    </row>
    <row r="72" spans="1:5">
      <c r="A72" s="478" cm="1">
        <f t="array" ref="A72">INDEX('Master Mapping'!O:O, MATCH(TRUE, EXACT(TEXT(LEFT(TRIM(D72), 7), "@"), 'Master Mapping'!A:A), 0))</f>
        <v>16</v>
      </c>
      <c r="B72" s="617">
        <f t="shared" si="0"/>
        <v>3418.32</v>
      </c>
      <c r="C72" s="617">
        <f>IFERROR(INDEX('P&amp;L SR 1'!A:ZZ, MATCH(D72, 'P&amp;L SR 1'!B:B, 0), MATCH("TOTAL", 'P&amp;L SR 1'!$5:$5, 0)), 0)</f>
        <v>0</v>
      </c>
      <c r="D72" s="619" t="s">
        <v>492</v>
      </c>
      <c r="E72" s="621">
        <f>3418.32</f>
        <v>3418.32</v>
      </c>
    </row>
    <row r="73" spans="1:5">
      <c r="A73" s="478" cm="1">
        <f t="array" ref="A73">INDEX('Master Mapping'!O:O, MATCH(TRUE, EXACT(TEXT(LEFT(TRIM(D73), 7), "@"), 'Master Mapping'!A:A), 0))</f>
        <v>18</v>
      </c>
      <c r="B73" s="617">
        <f t="shared" ref="B73:B136" si="1">E73-C73</f>
        <v>575.1</v>
      </c>
      <c r="C73" s="617">
        <f>IFERROR(INDEX('P&amp;L SR 1'!A:ZZ, MATCH(D73, 'P&amp;L SR 1'!B:B, 0), MATCH("TOTAL", 'P&amp;L SR 1'!$5:$5, 0)), 0)</f>
        <v>0</v>
      </c>
      <c r="D73" s="619" t="s">
        <v>493</v>
      </c>
      <c r="E73" s="621">
        <f>575.1</f>
        <v>575.1</v>
      </c>
    </row>
    <row r="74" spans="1:5">
      <c r="A74" s="478" t="e" cm="1">
        <f t="array" ref="A74">INDEX('Master Mapping'!O:O, MATCH(TRUE, EXACT(TEXT(LEFT(TRIM(D74), 7), "@"), 'Master Mapping'!A:A), 0))</f>
        <v>#N/A</v>
      </c>
      <c r="B74" s="617">
        <f t="shared" si="1"/>
        <v>11160.390000000003</v>
      </c>
      <c r="C74" s="617">
        <f>IFERROR(INDEX('P&amp;L SR 1'!A:ZZ, MATCH(D74, 'P&amp;L SR 1'!B:B, 0), MATCH("TOTAL", 'P&amp;L SR 1'!$5:$5, 0)), 0)</f>
        <v>2865.8</v>
      </c>
      <c r="D74" s="619" t="s">
        <v>494</v>
      </c>
      <c r="E74" s="622">
        <f>((((((((E65)+(E66))+(E67))+(E68))+(E69))+(E70))+(E71))+(E72))+(E73)</f>
        <v>14026.190000000002</v>
      </c>
    </row>
    <row r="75" spans="1:5">
      <c r="A75" s="478" t="e" cm="1">
        <f t="array" ref="A75">INDEX('Master Mapping'!O:O, MATCH(TRUE, EXACT(TEXT(LEFT(TRIM(D75), 7), "@"), 'Master Mapping'!A:A), 0))</f>
        <v>#N/A</v>
      </c>
      <c r="B75" s="617">
        <f t="shared" si="1"/>
        <v>0</v>
      </c>
      <c r="C75" s="617">
        <f>IFERROR(INDEX('P&amp;L SR 1'!A:ZZ, MATCH(D75, 'P&amp;L SR 1'!B:B, 0), MATCH("TOTAL", 'P&amp;L SR 1'!$5:$5, 0)), 0)</f>
        <v>0</v>
      </c>
      <c r="D75" s="619" t="s">
        <v>495</v>
      </c>
      <c r="E75" s="620"/>
    </row>
    <row r="76" spans="1:5">
      <c r="A76" s="478" cm="1">
        <f t="array" ref="A76">INDEX('Master Mapping'!O:O, MATCH(TRUE, EXACT(TEXT(LEFT(TRIM(D76), 7), "@"), 'Master Mapping'!A:A), 0))</f>
        <v>7</v>
      </c>
      <c r="B76" s="617">
        <f t="shared" si="1"/>
        <v>1837</v>
      </c>
      <c r="C76" s="617">
        <f>IFERROR(INDEX('P&amp;L SR 1'!A:ZZ, MATCH(D76, 'P&amp;L SR 1'!B:B, 0), MATCH("TOTAL", 'P&amp;L SR 1'!$5:$5, 0)), 0)</f>
        <v>0</v>
      </c>
      <c r="D76" s="619" t="s">
        <v>496</v>
      </c>
      <c r="E76" s="621">
        <f>1837</f>
        <v>1837</v>
      </c>
    </row>
    <row r="77" spans="1:5">
      <c r="A77" s="478" cm="1">
        <f t="array" ref="A77">INDEX('Master Mapping'!O:O, MATCH(TRUE, EXACT(TEXT(LEFT(TRIM(D77), 7), "@"), 'Master Mapping'!A:A), 0))</f>
        <v>13</v>
      </c>
      <c r="B77" s="617">
        <f t="shared" si="1"/>
        <v>662.46</v>
      </c>
      <c r="C77" s="617">
        <f>IFERROR(INDEX('P&amp;L SR 1'!A:ZZ, MATCH(D77, 'P&amp;L SR 1'!B:B, 0), MATCH("TOTAL", 'P&amp;L SR 1'!$5:$5, 0)), 0)</f>
        <v>0</v>
      </c>
      <c r="D77" s="619" t="s">
        <v>497</v>
      </c>
      <c r="E77" s="621">
        <f>662.46</f>
        <v>662.46</v>
      </c>
    </row>
    <row r="78" spans="1:5">
      <c r="A78" s="478" cm="1">
        <f t="array" ref="A78">INDEX('Master Mapping'!O:O, MATCH(TRUE, EXACT(TEXT(LEFT(TRIM(D78), 7), "@"), 'Master Mapping'!A:A), 0))</f>
        <v>14</v>
      </c>
      <c r="B78" s="617">
        <f t="shared" si="1"/>
        <v>1037.97</v>
      </c>
      <c r="C78" s="617">
        <f>IFERROR(INDEX('P&amp;L SR 1'!A:ZZ, MATCH(D78, 'P&amp;L SR 1'!B:B, 0), MATCH("TOTAL", 'P&amp;L SR 1'!$5:$5, 0)), 0)</f>
        <v>0</v>
      </c>
      <c r="D78" s="619" t="s">
        <v>498</v>
      </c>
      <c r="E78" s="621">
        <f>1037.97</f>
        <v>1037.97</v>
      </c>
    </row>
    <row r="79" spans="1:5">
      <c r="A79" s="478" cm="1">
        <f t="array" ref="A79">INDEX('Master Mapping'!O:O, MATCH(TRUE, EXACT(TEXT(LEFT(TRIM(D79), 7), "@"), 'Master Mapping'!A:A), 0))</f>
        <v>16</v>
      </c>
      <c r="B79" s="617">
        <f t="shared" si="1"/>
        <v>5333.34</v>
      </c>
      <c r="C79" s="617">
        <f>IFERROR(INDEX('P&amp;L SR 1'!A:ZZ, MATCH(D79, 'P&amp;L SR 1'!B:B, 0), MATCH("TOTAL", 'P&amp;L SR 1'!$5:$5, 0)), 0)</f>
        <v>0</v>
      </c>
      <c r="D79" s="619" t="s">
        <v>499</v>
      </c>
      <c r="E79" s="621">
        <f>5333.34</f>
        <v>5333.34</v>
      </c>
    </row>
    <row r="80" spans="1:5">
      <c r="A80" s="478" t="e" cm="1">
        <f t="array" ref="A80">INDEX('Master Mapping'!O:O, MATCH(TRUE, EXACT(TEXT(LEFT(TRIM(D80), 7), "@"), 'Master Mapping'!A:A), 0))</f>
        <v>#N/A</v>
      </c>
      <c r="B80" s="617">
        <f t="shared" si="1"/>
        <v>8870.77</v>
      </c>
      <c r="C80" s="617">
        <f>IFERROR(INDEX('P&amp;L SR 1'!A:ZZ, MATCH(D80, 'P&amp;L SR 1'!B:B, 0), MATCH("TOTAL", 'P&amp;L SR 1'!$5:$5, 0)), 0)</f>
        <v>0</v>
      </c>
      <c r="D80" s="619" t="s">
        <v>500</v>
      </c>
      <c r="E80" s="622">
        <f>((((E75)+(E76))+(E77))+(E78))+(E79)</f>
        <v>8870.77</v>
      </c>
    </row>
    <row r="81" spans="1:5">
      <c r="A81" s="478" cm="1">
        <f t="array" ref="A81">INDEX('Master Mapping'!O:O, MATCH(TRUE, EXACT(TEXT(LEFT(TRIM(D81), 7), "@"), 'Master Mapping'!A:A), 0))</f>
        <v>14</v>
      </c>
      <c r="B81" s="617">
        <f t="shared" si="1"/>
        <v>425</v>
      </c>
      <c r="C81" s="617">
        <f>IFERROR(INDEX('P&amp;L SR 1'!A:ZZ, MATCH(D81, 'P&amp;L SR 1'!B:B, 0), MATCH("TOTAL", 'P&amp;L SR 1'!$5:$5, 0)), 0)</f>
        <v>0</v>
      </c>
      <c r="D81" s="619" t="s">
        <v>4293</v>
      </c>
      <c r="E81" s="621">
        <f>425</f>
        <v>425</v>
      </c>
    </row>
    <row r="82" spans="1:5">
      <c r="A82" s="478" t="e" cm="1">
        <f t="array" ref="A82">INDEX('Master Mapping'!O:O, MATCH(TRUE, EXACT(TEXT(LEFT(TRIM(D82), 7), "@"), 'Master Mapping'!A:A), 0))</f>
        <v>#N/A</v>
      </c>
      <c r="B82" s="617">
        <f t="shared" si="1"/>
        <v>0</v>
      </c>
      <c r="C82" s="617">
        <f>IFERROR(INDEX('P&amp;L SR 1'!A:ZZ, MATCH(D82, 'P&amp;L SR 1'!B:B, 0), MATCH("TOTAL", 'P&amp;L SR 1'!$5:$5, 0)), 0)</f>
        <v>0</v>
      </c>
      <c r="D82" s="619" t="s">
        <v>501</v>
      </c>
      <c r="E82" s="620"/>
    </row>
    <row r="83" spans="1:5">
      <c r="A83" s="478" cm="1">
        <f t="array" ref="A83">INDEX('Master Mapping'!O:O, MATCH(TRUE, EXACT(TEXT(LEFT(TRIM(D83), 7), "@"), 'Master Mapping'!A:A), 0))</f>
        <v>7</v>
      </c>
      <c r="B83" s="617">
        <f t="shared" si="1"/>
        <v>577.51</v>
      </c>
      <c r="C83" s="617">
        <f>IFERROR(INDEX('P&amp;L SR 1'!A:ZZ, MATCH(D83, 'P&amp;L SR 1'!B:B, 0), MATCH("TOTAL", 'P&amp;L SR 1'!$5:$5, 0)), 0)</f>
        <v>0</v>
      </c>
      <c r="D83" s="619" t="s">
        <v>502</v>
      </c>
      <c r="E83" s="621">
        <f>577.51</f>
        <v>577.51</v>
      </c>
    </row>
    <row r="84" spans="1:5">
      <c r="A84" s="478" cm="1">
        <f t="array" ref="A84">INDEX('Master Mapping'!O:O, MATCH(TRUE, EXACT(TEXT(LEFT(TRIM(D84), 7), "@"), 'Master Mapping'!A:A), 0))</f>
        <v>18</v>
      </c>
      <c r="B84" s="617">
        <f t="shared" si="1"/>
        <v>385</v>
      </c>
      <c r="C84" s="617">
        <f>IFERROR(INDEX('P&amp;L SR 1'!A:ZZ, MATCH(D84, 'P&amp;L SR 1'!B:B, 0), MATCH("TOTAL", 'P&amp;L SR 1'!$5:$5, 0)), 0)</f>
        <v>0</v>
      </c>
      <c r="D84" s="619" t="s">
        <v>508</v>
      </c>
      <c r="E84" s="621">
        <f>385</f>
        <v>385</v>
      </c>
    </row>
    <row r="85" spans="1:5">
      <c r="A85" s="478" t="e" cm="1">
        <f t="array" ref="A85">INDEX('Master Mapping'!O:O, MATCH(TRUE, EXACT(TEXT(LEFT(TRIM(D85), 7), "@"), 'Master Mapping'!A:A), 0))</f>
        <v>#N/A</v>
      </c>
      <c r="B85" s="617">
        <f t="shared" si="1"/>
        <v>962.51</v>
      </c>
      <c r="C85" s="617">
        <f>IFERROR(INDEX('P&amp;L SR 1'!A:ZZ, MATCH(D85, 'P&amp;L SR 1'!B:B, 0), MATCH("TOTAL", 'P&amp;L SR 1'!$5:$5, 0)), 0)</f>
        <v>0</v>
      </c>
      <c r="D85" s="619" t="s">
        <v>509</v>
      </c>
      <c r="E85" s="622">
        <f>((E82)+(E83))+(E84)</f>
        <v>962.51</v>
      </c>
    </row>
    <row r="86" spans="1:5">
      <c r="A86" s="478" t="e" cm="1">
        <f t="array" ref="A86">INDEX('Master Mapping'!O:O, MATCH(TRUE, EXACT(TEXT(LEFT(TRIM(D86), 7), "@"), 'Master Mapping'!A:A), 0))</f>
        <v>#N/A</v>
      </c>
      <c r="B86" s="617">
        <f t="shared" si="1"/>
        <v>0</v>
      </c>
      <c r="C86" s="617">
        <f>IFERROR(INDEX('P&amp;L SR 1'!A:ZZ, MATCH(D86, 'P&amp;L SR 1'!B:B, 0), MATCH("TOTAL", 'P&amp;L SR 1'!$5:$5, 0)), 0)</f>
        <v>0</v>
      </c>
      <c r="D86" s="619" t="s">
        <v>272</v>
      </c>
      <c r="E86" s="620"/>
    </row>
    <row r="87" spans="1:5">
      <c r="A87" s="478" cm="1">
        <f t="array" ref="A87">INDEX('Master Mapping'!O:O, MATCH(TRUE, EXACT(TEXT(LEFT(TRIM(D87), 7), "@"), 'Master Mapping'!A:A), 0))</f>
        <v>7</v>
      </c>
      <c r="B87" s="617">
        <f t="shared" si="1"/>
        <v>5544.16</v>
      </c>
      <c r="C87" s="617">
        <f>IFERROR(INDEX('P&amp;L SR 1'!A:ZZ, MATCH(D87, 'P&amp;L SR 1'!B:B, 0), MATCH("TOTAL", 'P&amp;L SR 1'!$5:$5, 0)), 0)</f>
        <v>0</v>
      </c>
      <c r="D87" s="619" t="s">
        <v>510</v>
      </c>
      <c r="E87" s="621">
        <f>5544.16</f>
        <v>5544.16</v>
      </c>
    </row>
    <row r="88" spans="1:5">
      <c r="A88" s="478" t="e" cm="1">
        <f t="array" ref="A88">INDEX('Master Mapping'!O:O, MATCH(TRUE, EXACT(TEXT(LEFT(TRIM(D88), 7), "@"), 'Master Mapping'!A:A), 0))</f>
        <v>#N/A</v>
      </c>
      <c r="B88" s="617">
        <f t="shared" si="1"/>
        <v>5544.16</v>
      </c>
      <c r="C88" s="617">
        <f>IFERROR(INDEX('P&amp;L SR 1'!A:ZZ, MATCH(D88, 'P&amp;L SR 1'!B:B, 0), MATCH("TOTAL", 'P&amp;L SR 1'!$5:$5, 0)), 0)</f>
        <v>0</v>
      </c>
      <c r="D88" s="619" t="s">
        <v>511</v>
      </c>
      <c r="E88" s="622">
        <f>(E86)+(E87)</f>
        <v>5544.16</v>
      </c>
    </row>
    <row r="89" spans="1:5">
      <c r="A89" s="478" t="e" cm="1">
        <f t="array" ref="A89">INDEX('Master Mapping'!O:O, MATCH(TRUE, EXACT(TEXT(LEFT(TRIM(D89), 7), "@"), 'Master Mapping'!A:A), 0))</f>
        <v>#N/A</v>
      </c>
      <c r="B89" s="617">
        <f t="shared" si="1"/>
        <v>0</v>
      </c>
      <c r="C89" s="617">
        <f>IFERROR(INDEX('P&amp;L SR 1'!A:ZZ, MATCH(D89, 'P&amp;L SR 1'!B:B, 0), MATCH("TOTAL", 'P&amp;L SR 1'!$5:$5, 0)), 0)</f>
        <v>0</v>
      </c>
      <c r="D89" s="619" t="s">
        <v>512</v>
      </c>
      <c r="E89" s="620"/>
    </row>
    <row r="90" spans="1:5">
      <c r="A90" s="478" cm="1">
        <f t="array" ref="A90">INDEX('Master Mapping'!O:O, MATCH(TRUE, EXACT(TEXT(LEFT(TRIM(D90), 7), "@"), 'Master Mapping'!A:A), 0))</f>
        <v>7</v>
      </c>
      <c r="B90" s="617">
        <f t="shared" si="1"/>
        <v>-171.65</v>
      </c>
      <c r="C90" s="617">
        <f>IFERROR(INDEX('P&amp;L SR 1'!A:ZZ, MATCH(D90, 'P&amp;L SR 1'!B:B, 0), MATCH("TOTAL", 'P&amp;L SR 1'!$5:$5, 0)), 0)</f>
        <v>0</v>
      </c>
      <c r="D90" s="619" t="s">
        <v>513</v>
      </c>
      <c r="E90" s="621">
        <f>-171.65</f>
        <v>-171.65</v>
      </c>
    </row>
    <row r="91" spans="1:5">
      <c r="A91" s="478" t="e" cm="1">
        <f t="array" ref="A91">INDEX('Master Mapping'!O:O, MATCH(TRUE, EXACT(TEXT(LEFT(TRIM(D91), 7), "@"), 'Master Mapping'!A:A), 0))</f>
        <v>#N/A</v>
      </c>
      <c r="B91" s="617">
        <f t="shared" si="1"/>
        <v>-171.65</v>
      </c>
      <c r="C91" s="617">
        <f>IFERROR(INDEX('P&amp;L SR 1'!A:ZZ, MATCH(D91, 'P&amp;L SR 1'!B:B, 0), MATCH("TOTAL", 'P&amp;L SR 1'!$5:$5, 0)), 0)</f>
        <v>0</v>
      </c>
      <c r="D91" s="619" t="s">
        <v>514</v>
      </c>
      <c r="E91" s="622">
        <f>(E89)+(E90)</f>
        <v>-171.65</v>
      </c>
    </row>
    <row r="92" spans="1:5">
      <c r="A92" s="478" t="e" cm="1">
        <f t="array" ref="A92">INDEX('Master Mapping'!O:O, MATCH(TRUE, EXACT(TEXT(LEFT(TRIM(D92), 7), "@"), 'Master Mapping'!A:A), 0))</f>
        <v>#N/A</v>
      </c>
      <c r="B92" s="617">
        <f t="shared" si="1"/>
        <v>205822.12000000002</v>
      </c>
      <c r="C92" s="617">
        <f>IFERROR(INDEX('P&amp;L SR 1'!A:ZZ, MATCH(D92, 'P&amp;L SR 1'!B:B, 0), MATCH("TOTAL", 'P&amp;L SR 1'!$5:$5, 0)), 0)</f>
        <v>37374.660000000003</v>
      </c>
      <c r="D92" s="619" t="s">
        <v>515</v>
      </c>
      <c r="E92" s="622">
        <f>((((((((E45)+(E54))+(E64))+(E74))+(E80))+(E81))+(E85))+(E88))+(E91)</f>
        <v>243196.78000000003</v>
      </c>
    </row>
    <row r="93" spans="1:5">
      <c r="A93" s="478" t="e" cm="1">
        <f t="array" ref="A93">INDEX('Master Mapping'!O:O, MATCH(TRUE, EXACT(TEXT(LEFT(TRIM(D93), 7), "@"), 'Master Mapping'!A:A), 0))</f>
        <v>#N/A</v>
      </c>
      <c r="B93" s="617">
        <f t="shared" si="1"/>
        <v>0</v>
      </c>
      <c r="C93" s="617">
        <f>IFERROR(INDEX('P&amp;L SR 1'!A:ZZ, MATCH(D93, 'P&amp;L SR 1'!B:B, 0), MATCH("TOTAL", 'P&amp;L SR 1'!$5:$5, 0)), 0)</f>
        <v>0</v>
      </c>
      <c r="D93" s="619" t="s">
        <v>516</v>
      </c>
      <c r="E93" s="620"/>
    </row>
    <row r="94" spans="1:5">
      <c r="A94" s="478" cm="1">
        <f t="array" ref="A94">INDEX('Master Mapping'!O:O, MATCH(TRUE, EXACT(TEXT(LEFT(TRIM(D94), 7), "@"), 'Master Mapping'!A:A), 0))</f>
        <v>8</v>
      </c>
      <c r="B94" s="617">
        <f t="shared" si="1"/>
        <v>4325</v>
      </c>
      <c r="C94" s="617">
        <f>IFERROR(INDEX('P&amp;L SR 1'!A:ZZ, MATCH(D94, 'P&amp;L SR 1'!B:B, 0), MATCH("TOTAL", 'P&amp;L SR 1'!$5:$5, 0)), 0)</f>
        <v>0</v>
      </c>
      <c r="D94" s="619" t="s">
        <v>517</v>
      </c>
      <c r="E94" s="621">
        <f>4325</f>
        <v>4325</v>
      </c>
    </row>
    <row r="95" spans="1:5">
      <c r="A95" s="478" cm="1">
        <f t="array" ref="A95">INDEX('Master Mapping'!O:O, MATCH(TRUE, EXACT(TEXT(LEFT(TRIM(D95), 7), "@"), 'Master Mapping'!A:A), 0))</f>
        <v>13</v>
      </c>
      <c r="B95" s="617">
        <f t="shared" si="1"/>
        <v>5411.25</v>
      </c>
      <c r="C95" s="617">
        <f>IFERROR(INDEX('P&amp;L SR 1'!A:ZZ, MATCH(D95, 'P&amp;L SR 1'!B:B, 0), MATCH("TOTAL", 'P&amp;L SR 1'!$5:$5, 0)), 0)</f>
        <v>0</v>
      </c>
      <c r="D95" s="619" t="s">
        <v>518</v>
      </c>
      <c r="E95" s="621">
        <f>5411.25</f>
        <v>5411.25</v>
      </c>
    </row>
    <row r="96" spans="1:5">
      <c r="A96" s="478" cm="1">
        <f t="array" ref="A96">INDEX('Master Mapping'!O:O, MATCH(TRUE, EXACT(TEXT(LEFT(TRIM(D96), 7), "@"), 'Master Mapping'!A:A), 0))</f>
        <v>13</v>
      </c>
      <c r="B96" s="617">
        <f t="shared" si="1"/>
        <v>26910</v>
      </c>
      <c r="C96" s="617">
        <f>IFERROR(INDEX('P&amp;L SR 1'!A:ZZ, MATCH(D96, 'P&amp;L SR 1'!B:B, 0), MATCH("TOTAL", 'P&amp;L SR 1'!$5:$5, 0)), 0)</f>
        <v>0</v>
      </c>
      <c r="D96" s="619" t="s">
        <v>590</v>
      </c>
      <c r="E96" s="621">
        <f>26910</f>
        <v>26910</v>
      </c>
    </row>
    <row r="97" spans="1:5">
      <c r="A97" s="478" cm="1">
        <f t="array" ref="A97">INDEX('Master Mapping'!O:O, MATCH(TRUE, EXACT(TEXT(LEFT(TRIM(D97), 7), "@"), 'Master Mapping'!A:A), 0))</f>
        <v>13</v>
      </c>
      <c r="B97" s="617">
        <f t="shared" si="1"/>
        <v>4165</v>
      </c>
      <c r="C97" s="617">
        <f>IFERROR(INDEX('P&amp;L SR 1'!A:ZZ, MATCH(D97, 'P&amp;L SR 1'!B:B, 0), MATCH("TOTAL", 'P&amp;L SR 1'!$5:$5, 0)), 0)</f>
        <v>0</v>
      </c>
      <c r="D97" s="619" t="s">
        <v>4294</v>
      </c>
      <c r="E97" s="621">
        <f>4165</f>
        <v>4165</v>
      </c>
    </row>
    <row r="98" spans="1:5">
      <c r="A98" s="478" cm="1">
        <f t="array" ref="A98">INDEX('Master Mapping'!O:O, MATCH(TRUE, EXACT(TEXT(LEFT(TRIM(D98), 7), "@"), 'Master Mapping'!A:A), 0))</f>
        <v>14</v>
      </c>
      <c r="B98" s="617">
        <f t="shared" si="1"/>
        <v>85305.85</v>
      </c>
      <c r="C98" s="617">
        <f>IFERROR(INDEX('P&amp;L SR 1'!A:ZZ, MATCH(D98, 'P&amp;L SR 1'!B:B, 0), MATCH("TOTAL", 'P&amp;L SR 1'!$5:$5, 0)), 0)</f>
        <v>0</v>
      </c>
      <c r="D98" s="619" t="s">
        <v>519</v>
      </c>
      <c r="E98" s="621">
        <f>85305.85</f>
        <v>85305.85</v>
      </c>
    </row>
    <row r="99" spans="1:5">
      <c r="A99" s="478" cm="1">
        <f t="array" ref="A99">INDEX('Master Mapping'!O:O, MATCH(TRUE, EXACT(TEXT(LEFT(TRIM(D99), 7), "@"), 'Master Mapping'!A:A), 0))</f>
        <v>14</v>
      </c>
      <c r="B99" s="617">
        <f t="shared" si="1"/>
        <v>8612.5</v>
      </c>
      <c r="C99" s="617">
        <f>IFERROR(INDEX('P&amp;L SR 1'!A:ZZ, MATCH(D99, 'P&amp;L SR 1'!B:B, 0), MATCH("TOTAL", 'P&amp;L SR 1'!$5:$5, 0)), 0)</f>
        <v>0</v>
      </c>
      <c r="D99" s="619" t="s">
        <v>520</v>
      </c>
      <c r="E99" s="621">
        <f>8612.5</f>
        <v>8612.5</v>
      </c>
    </row>
    <row r="100" spans="1:5">
      <c r="A100" s="478" cm="1">
        <f t="array" ref="A100">INDEX('Master Mapping'!O:O, MATCH(TRUE, EXACT(TEXT(LEFT(TRIM(D100), 7), "@"), 'Master Mapping'!A:A), 0))</f>
        <v>16</v>
      </c>
      <c r="B100" s="617">
        <f t="shared" si="1"/>
        <v>14823.6</v>
      </c>
      <c r="C100" s="617">
        <f>IFERROR(INDEX('P&amp;L SR 1'!A:ZZ, MATCH(D100, 'P&amp;L SR 1'!B:B, 0), MATCH("TOTAL", 'P&amp;L SR 1'!$5:$5, 0)), 0)</f>
        <v>0</v>
      </c>
      <c r="D100" s="619" t="s">
        <v>521</v>
      </c>
      <c r="E100" s="621">
        <f>14823.6</f>
        <v>14823.6</v>
      </c>
    </row>
    <row r="101" spans="1:5">
      <c r="A101" s="478" cm="1">
        <f t="array" ref="A101">INDEX('Master Mapping'!O:O, MATCH(TRUE, EXACT(TEXT(LEFT(TRIM(D101), 7), "@"), 'Master Mapping'!A:A), 0))</f>
        <v>17</v>
      </c>
      <c r="B101" s="617">
        <f t="shared" si="1"/>
        <v>46374.96</v>
      </c>
      <c r="C101" s="617">
        <f>IFERROR(INDEX('P&amp;L SR 1'!A:ZZ, MATCH(D101, 'P&amp;L SR 1'!B:B, 0), MATCH("TOTAL", 'P&amp;L SR 1'!$5:$5, 0)), 0)</f>
        <v>0</v>
      </c>
      <c r="D101" s="619" t="s">
        <v>522</v>
      </c>
      <c r="E101" s="621">
        <f>46374.96</f>
        <v>46374.96</v>
      </c>
    </row>
    <row r="102" spans="1:5">
      <c r="A102" s="478" cm="1">
        <f t="array" ref="A102">INDEX('Master Mapping'!O:O, MATCH(TRUE, EXACT(TEXT(LEFT(TRIM(D102), 7), "@"), 'Master Mapping'!A:A), 0))</f>
        <v>18</v>
      </c>
      <c r="B102" s="617">
        <f t="shared" si="1"/>
        <v>5688</v>
      </c>
      <c r="C102" s="617">
        <f>IFERROR(INDEX('P&amp;L SR 1'!A:ZZ, MATCH(D102, 'P&amp;L SR 1'!B:B, 0), MATCH("TOTAL", 'P&amp;L SR 1'!$5:$5, 0)), 0)</f>
        <v>0</v>
      </c>
      <c r="D102" s="619" t="s">
        <v>523</v>
      </c>
      <c r="E102" s="621">
        <f>5688</f>
        <v>5688</v>
      </c>
    </row>
    <row r="103" spans="1:5">
      <c r="A103" s="478" cm="1">
        <f t="array" ref="A103">INDEX('Master Mapping'!O:O, MATCH(TRUE, EXACT(TEXT(LEFT(TRIM(D103), 7), "@"), 'Master Mapping'!A:A), 0))</f>
        <v>20</v>
      </c>
      <c r="B103" s="617">
        <f t="shared" si="1"/>
        <v>39161.870000000003</v>
      </c>
      <c r="C103" s="617">
        <f>IFERROR(INDEX('P&amp;L SR 1'!A:ZZ, MATCH(D103, 'P&amp;L SR 1'!B:B, 0), MATCH("TOTAL", 'P&amp;L SR 1'!$5:$5, 0)), 0)</f>
        <v>0</v>
      </c>
      <c r="D103" s="619" t="s">
        <v>524</v>
      </c>
      <c r="E103" s="621">
        <f>39161.87</f>
        <v>39161.870000000003</v>
      </c>
    </row>
    <row r="104" spans="1:5">
      <c r="A104" s="478" cm="1">
        <f t="array" ref="A104">INDEX('Master Mapping'!O:O, MATCH(TRUE, EXACT(TEXT(LEFT(TRIM(D104), 7), "@"), 'Master Mapping'!A:A), 0))</f>
        <v>15</v>
      </c>
      <c r="B104" s="617">
        <f t="shared" si="1"/>
        <v>2585.44</v>
      </c>
      <c r="C104" s="617">
        <f>IFERROR(INDEX('P&amp;L SR 1'!A:ZZ, MATCH(D104, 'P&amp;L SR 1'!B:B, 0), MATCH("TOTAL", 'P&amp;L SR 1'!$5:$5, 0)), 0)</f>
        <v>0</v>
      </c>
      <c r="D104" s="619" t="s">
        <v>525</v>
      </c>
      <c r="E104" s="621">
        <f>2585.44</f>
        <v>2585.44</v>
      </c>
    </row>
    <row r="105" spans="1:5">
      <c r="A105" s="478" cm="1">
        <f t="array" ref="A105">INDEX('Master Mapping'!O:O, MATCH(TRUE, EXACT(TEXT(LEFT(TRIM(D105), 7), "@"), 'Master Mapping'!A:A), 0))</f>
        <v>20</v>
      </c>
      <c r="B105" s="617">
        <f t="shared" si="1"/>
        <v>823.72</v>
      </c>
      <c r="C105" s="617">
        <f>IFERROR(INDEX('P&amp;L SR 1'!A:ZZ, MATCH(D105, 'P&amp;L SR 1'!B:B, 0), MATCH("TOTAL", 'P&amp;L SR 1'!$5:$5, 0)), 0)</f>
        <v>0</v>
      </c>
      <c r="D105" s="619" t="s">
        <v>527</v>
      </c>
      <c r="E105" s="621">
        <f>823.72</f>
        <v>823.72</v>
      </c>
    </row>
    <row r="106" spans="1:5">
      <c r="A106" s="478" cm="1">
        <f t="array" ref="A106">INDEX('Master Mapping'!O:O, MATCH(TRUE, EXACT(TEXT(LEFT(TRIM(D106), 7), "@"), 'Master Mapping'!A:A), 0))</f>
        <v>17</v>
      </c>
      <c r="B106" s="617">
        <f t="shared" si="1"/>
        <v>6029.14</v>
      </c>
      <c r="C106" s="617">
        <f>IFERROR(INDEX('P&amp;L SR 1'!A:ZZ, MATCH(D106, 'P&amp;L SR 1'!B:B, 0), MATCH("TOTAL", 'P&amp;L SR 1'!$5:$5, 0)), 0)</f>
        <v>0</v>
      </c>
      <c r="D106" s="619" t="s">
        <v>528</v>
      </c>
      <c r="E106" s="621">
        <f>6029.14</f>
        <v>6029.14</v>
      </c>
    </row>
    <row r="107" spans="1:5">
      <c r="A107" s="478" cm="1">
        <f t="array" ref="A107">INDEX('Master Mapping'!O:O, MATCH(TRUE, EXACT(TEXT(LEFT(TRIM(D107), 7), "@"), 'Master Mapping'!A:A), 0))</f>
        <v>20</v>
      </c>
      <c r="B107" s="617">
        <f t="shared" si="1"/>
        <v>82975.83</v>
      </c>
      <c r="C107" s="617">
        <f>IFERROR(INDEX('P&amp;L SR 1'!A:ZZ, MATCH(D107, 'P&amp;L SR 1'!B:B, 0), MATCH("TOTAL", 'P&amp;L SR 1'!$5:$5, 0)), 0)</f>
        <v>0</v>
      </c>
      <c r="D107" s="619" t="s">
        <v>529</v>
      </c>
      <c r="E107" s="621">
        <f>82975.83</f>
        <v>82975.83</v>
      </c>
    </row>
    <row r="108" spans="1:5">
      <c r="A108" s="478" t="e" cm="1">
        <f t="array" ref="A108">INDEX('Master Mapping'!O:O, MATCH(TRUE, EXACT(TEXT(LEFT(TRIM(D108), 7), "@"), 'Master Mapping'!A:A), 0))</f>
        <v>#N/A</v>
      </c>
      <c r="B108" s="617">
        <f t="shared" si="1"/>
        <v>333192.16000000003</v>
      </c>
      <c r="C108" s="617">
        <f>IFERROR(INDEX('P&amp;L SR 1'!A:ZZ, MATCH(D108, 'P&amp;L SR 1'!B:B, 0), MATCH("TOTAL", 'P&amp;L SR 1'!$5:$5, 0)), 0)</f>
        <v>0</v>
      </c>
      <c r="D108" s="619" t="s">
        <v>530</v>
      </c>
      <c r="E108" s="622">
        <f>((((((((((((((E93)+(E94))+(E95))+(E96))+(E97))+(E98))+(E99))+(E100))+(E101))+(E102))+(E103))+(E104))+(E105))+(E106))+(E107)</f>
        <v>333192.16000000003</v>
      </c>
    </row>
    <row r="109" spans="1:5">
      <c r="A109" s="478" t="e" cm="1">
        <f t="array" ref="A109">INDEX('Master Mapping'!O:O, MATCH(TRUE, EXACT(TEXT(LEFT(TRIM(D109), 7), "@"), 'Master Mapping'!A:A), 0))</f>
        <v>#N/A</v>
      </c>
      <c r="B109" s="617">
        <f t="shared" si="1"/>
        <v>0</v>
      </c>
      <c r="C109" s="617">
        <f>IFERROR(INDEX('P&amp;L SR 1'!A:ZZ, MATCH(D109, 'P&amp;L SR 1'!B:B, 0), MATCH("TOTAL", 'P&amp;L SR 1'!$5:$5, 0)), 0)</f>
        <v>0</v>
      </c>
      <c r="D109" s="619" t="s">
        <v>531</v>
      </c>
      <c r="E109" s="620"/>
    </row>
    <row r="110" spans="1:5">
      <c r="A110" s="478" cm="1">
        <f t="array" ref="A110">INDEX('Master Mapping'!O:O, MATCH(TRUE, EXACT(TEXT(LEFT(TRIM(D110), 7), "@"), 'Master Mapping'!A:A), 0))</f>
        <v>15</v>
      </c>
      <c r="B110" s="617">
        <f t="shared" si="1"/>
        <v>11024.16</v>
      </c>
      <c r="C110" s="617">
        <f>IFERROR(INDEX('P&amp;L SR 1'!A:ZZ, MATCH(D110, 'P&amp;L SR 1'!B:B, 0), MATCH("TOTAL", 'P&amp;L SR 1'!$5:$5, 0)), 0)</f>
        <v>0</v>
      </c>
      <c r="D110" s="619" t="s">
        <v>532</v>
      </c>
      <c r="E110" s="621">
        <f>11024.16</f>
        <v>11024.16</v>
      </c>
    </row>
    <row r="111" spans="1:5">
      <c r="A111" s="478" cm="1">
        <f t="array" ref="A111">INDEX('Master Mapping'!O:O, MATCH(TRUE, EXACT(TEXT(LEFT(TRIM(D111), 7), "@"), 'Master Mapping'!A:A), 0))</f>
        <v>18</v>
      </c>
      <c r="B111" s="617">
        <f t="shared" si="1"/>
        <v>14893.92</v>
      </c>
      <c r="C111" s="617">
        <f>IFERROR(INDEX('P&amp;L SR 1'!A:ZZ, MATCH(D111, 'P&amp;L SR 1'!B:B, 0), MATCH("TOTAL", 'P&amp;L SR 1'!$5:$5, 0)), 0)</f>
        <v>0</v>
      </c>
      <c r="D111" s="619" t="s">
        <v>533</v>
      </c>
      <c r="E111" s="621">
        <f>14893.92</f>
        <v>14893.92</v>
      </c>
    </row>
    <row r="112" spans="1:5">
      <c r="A112" s="478" cm="1">
        <f t="array" ref="A112">INDEX('Master Mapping'!O:O, MATCH(TRUE, EXACT(TEXT(LEFT(TRIM(D112), 7), "@"), 'Master Mapping'!A:A), 0))</f>
        <v>18</v>
      </c>
      <c r="B112" s="617">
        <f t="shared" si="1"/>
        <v>10534.77</v>
      </c>
      <c r="C112" s="617">
        <f>IFERROR(INDEX('P&amp;L SR 1'!A:ZZ, MATCH(D112, 'P&amp;L SR 1'!B:B, 0), MATCH("TOTAL", 'P&amp;L SR 1'!$5:$5, 0)), 0)</f>
        <v>0</v>
      </c>
      <c r="D112" s="619" t="s">
        <v>534</v>
      </c>
      <c r="E112" s="621">
        <f>10534.77</f>
        <v>10534.77</v>
      </c>
    </row>
    <row r="113" spans="1:5">
      <c r="A113" s="478" cm="1">
        <f t="array" ref="A113">INDEX('Master Mapping'!O:O, MATCH(TRUE, EXACT(TEXT(LEFT(TRIM(D113), 7), "@"), 'Master Mapping'!A:A), 0))</f>
        <v>18</v>
      </c>
      <c r="B113" s="617">
        <f t="shared" si="1"/>
        <v>4864.7</v>
      </c>
      <c r="C113" s="617">
        <f>IFERROR(INDEX('P&amp;L SR 1'!A:ZZ, MATCH(D113, 'P&amp;L SR 1'!B:B, 0), MATCH("TOTAL", 'P&amp;L SR 1'!$5:$5, 0)), 0)</f>
        <v>0</v>
      </c>
      <c r="D113" s="619" t="s">
        <v>535</v>
      </c>
      <c r="E113" s="621">
        <f>4864.7</f>
        <v>4864.7</v>
      </c>
    </row>
    <row r="114" spans="1:5">
      <c r="A114" s="478" cm="1">
        <f t="array" ref="A114">INDEX('Master Mapping'!O:O, MATCH(TRUE, EXACT(TEXT(LEFT(TRIM(D114), 7), "@"), 'Master Mapping'!A:A), 0))</f>
        <v>18</v>
      </c>
      <c r="B114" s="617">
        <f t="shared" si="1"/>
        <v>874.67</v>
      </c>
      <c r="C114" s="617">
        <f>IFERROR(INDEX('P&amp;L SR 1'!A:ZZ, MATCH(D114, 'P&amp;L SR 1'!B:B, 0), MATCH("TOTAL", 'P&amp;L SR 1'!$5:$5, 0)), 0)</f>
        <v>0</v>
      </c>
      <c r="D114" s="619" t="s">
        <v>536</v>
      </c>
      <c r="E114" s="621">
        <f>874.67</f>
        <v>874.67</v>
      </c>
    </row>
    <row r="115" spans="1:5">
      <c r="A115" s="478" cm="1">
        <f t="array" ref="A115">INDEX('Master Mapping'!O:O, MATCH(TRUE, EXACT(TEXT(LEFT(TRIM(D115), 7), "@"), 'Master Mapping'!A:A), 0))</f>
        <v>18</v>
      </c>
      <c r="B115" s="617">
        <f t="shared" si="1"/>
        <v>7436.75</v>
      </c>
      <c r="C115" s="617">
        <f>IFERROR(INDEX('P&amp;L SR 1'!A:ZZ, MATCH(D115, 'P&amp;L SR 1'!B:B, 0), MATCH("TOTAL", 'P&amp;L SR 1'!$5:$5, 0)), 0)</f>
        <v>0</v>
      </c>
      <c r="D115" s="619" t="s">
        <v>537</v>
      </c>
      <c r="E115" s="621">
        <f>7436.75</f>
        <v>7436.75</v>
      </c>
    </row>
    <row r="116" spans="1:5">
      <c r="A116" s="478" cm="1">
        <f t="array" ref="A116">INDEX('Master Mapping'!O:O, MATCH(TRUE, EXACT(TEXT(LEFT(TRIM(D116), 7), "@"), 'Master Mapping'!A:A), 0))</f>
        <v>18</v>
      </c>
      <c r="B116" s="617">
        <f t="shared" si="1"/>
        <v>23215.25</v>
      </c>
      <c r="C116" s="617">
        <f>IFERROR(INDEX('P&amp;L SR 1'!A:ZZ, MATCH(D116, 'P&amp;L SR 1'!B:B, 0), MATCH("TOTAL", 'P&amp;L SR 1'!$5:$5, 0)), 0)</f>
        <v>0</v>
      </c>
      <c r="D116" s="619" t="s">
        <v>538</v>
      </c>
      <c r="E116" s="621">
        <f>23215.25</f>
        <v>23215.25</v>
      </c>
    </row>
    <row r="117" spans="1:5">
      <c r="A117" s="478" cm="1">
        <f t="array" ref="A117">INDEX('Master Mapping'!O:O, MATCH(TRUE, EXACT(TEXT(LEFT(TRIM(D117), 7), "@"), 'Master Mapping'!A:A), 0))</f>
        <v>21</v>
      </c>
      <c r="B117" s="617">
        <f t="shared" si="1"/>
        <v>1136.04</v>
      </c>
      <c r="C117" s="617">
        <f>IFERROR(INDEX('P&amp;L SR 1'!A:ZZ, MATCH(D117, 'P&amp;L SR 1'!B:B, 0), MATCH("TOTAL", 'P&amp;L SR 1'!$5:$5, 0)), 0)</f>
        <v>4453.59</v>
      </c>
      <c r="D117" s="619" t="s">
        <v>539</v>
      </c>
      <c r="E117" s="621">
        <f>5589.63</f>
        <v>5589.63</v>
      </c>
    </row>
    <row r="118" spans="1:5">
      <c r="A118" s="478" cm="1">
        <f t="array" ref="A118">INDEX('Master Mapping'!O:O, MATCH(TRUE, EXACT(TEXT(LEFT(TRIM(D118), 7), "@"), 'Master Mapping'!A:A), 0))</f>
        <v>16</v>
      </c>
      <c r="B118" s="617">
        <f t="shared" si="1"/>
        <v>12228.39</v>
      </c>
      <c r="C118" s="617">
        <f>IFERROR(INDEX('P&amp;L SR 1'!A:ZZ, MATCH(D118, 'P&amp;L SR 1'!B:B, 0), MATCH("TOTAL", 'P&amp;L SR 1'!$5:$5, 0)), 0)</f>
        <v>0</v>
      </c>
      <c r="D118" s="619" t="s">
        <v>279</v>
      </c>
      <c r="E118" s="621">
        <f>12228.39</f>
        <v>12228.39</v>
      </c>
    </row>
    <row r="119" spans="1:5">
      <c r="A119" s="478" t="e" cm="1">
        <f t="array" ref="A119">INDEX('Master Mapping'!O:O, MATCH(TRUE, EXACT(TEXT(LEFT(TRIM(D119), 7), "@"), 'Master Mapping'!A:A), 0))</f>
        <v>#N/A</v>
      </c>
      <c r="B119" s="617">
        <f t="shared" si="1"/>
        <v>86208.650000000009</v>
      </c>
      <c r="C119" s="617">
        <f>IFERROR(INDEX('P&amp;L SR 1'!A:ZZ, MATCH(D119, 'P&amp;L SR 1'!B:B, 0), MATCH("TOTAL", 'P&amp;L SR 1'!$5:$5, 0)), 0)</f>
        <v>4453.59</v>
      </c>
      <c r="D119" s="619" t="s">
        <v>541</v>
      </c>
      <c r="E119" s="622">
        <f>(((((((((E109)+(E110))+(E111))+(E112))+(E113))+(E114))+(E115))+(E116))+(E117))+(E118)</f>
        <v>90662.24</v>
      </c>
    </row>
    <row r="120" spans="1:5">
      <c r="A120" s="478" t="e" cm="1">
        <f t="array" ref="A120">INDEX('Master Mapping'!O:O, MATCH(TRUE, EXACT(TEXT(LEFT(TRIM(D120), 7), "@"), 'Master Mapping'!A:A), 0))</f>
        <v>#N/A</v>
      </c>
      <c r="B120" s="617">
        <f t="shared" si="1"/>
        <v>0</v>
      </c>
      <c r="C120" s="617">
        <f>IFERROR(INDEX('P&amp;L SR 1'!A:ZZ, MATCH(D120, 'P&amp;L SR 1'!B:B, 0), MATCH("TOTAL", 'P&amp;L SR 1'!$5:$5, 0)), 0)</f>
        <v>0</v>
      </c>
      <c r="D120" s="619" t="s">
        <v>542</v>
      </c>
      <c r="E120" s="620"/>
    </row>
    <row r="121" spans="1:5">
      <c r="A121" s="478" cm="1">
        <f t="array" ref="A121">INDEX('Master Mapping'!O:O, MATCH(TRUE, EXACT(TEXT(LEFT(TRIM(D121), 7), "@"), 'Master Mapping'!A:A), 0))</f>
        <v>7</v>
      </c>
      <c r="B121" s="617">
        <f t="shared" si="1"/>
        <v>15362.25</v>
      </c>
      <c r="C121" s="617">
        <f>IFERROR(INDEX('P&amp;L SR 1'!A:ZZ, MATCH(D121, 'P&amp;L SR 1'!B:B, 0), MATCH("TOTAL", 'P&amp;L SR 1'!$5:$5, 0)), 0)</f>
        <v>0</v>
      </c>
      <c r="D121" s="619" t="s">
        <v>4295</v>
      </c>
      <c r="E121" s="621">
        <f>15362.25</f>
        <v>15362.25</v>
      </c>
    </row>
    <row r="122" spans="1:5">
      <c r="A122" s="478" cm="1">
        <f t="array" ref="A122">INDEX('Master Mapping'!O:O, MATCH(TRUE, EXACT(TEXT(LEFT(TRIM(D122), 7), "@"), 'Master Mapping'!A:A), 0))</f>
        <v>19</v>
      </c>
      <c r="B122" s="617">
        <f t="shared" si="1"/>
        <v>82095.86</v>
      </c>
      <c r="C122" s="617">
        <f>IFERROR(INDEX('P&amp;L SR 1'!A:ZZ, MATCH(D122, 'P&amp;L SR 1'!B:B, 0), MATCH("TOTAL", 'P&amp;L SR 1'!$5:$5, 0)), 0)</f>
        <v>0</v>
      </c>
      <c r="D122" s="619" t="s">
        <v>543</v>
      </c>
      <c r="E122" s="621">
        <f>82095.86</f>
        <v>82095.86</v>
      </c>
    </row>
    <row r="123" spans="1:5">
      <c r="A123" s="478" cm="1">
        <f t="array" ref="A123">INDEX('Master Mapping'!O:O, MATCH(TRUE, EXACT(TEXT(LEFT(TRIM(D123), 7), "@"), 'Master Mapping'!A:A), 0))</f>
        <v>15</v>
      </c>
      <c r="B123" s="617">
        <f t="shared" si="1"/>
        <v>13064.78</v>
      </c>
      <c r="C123" s="617">
        <f>IFERROR(INDEX('P&amp;L SR 1'!A:ZZ, MATCH(D123, 'P&amp;L SR 1'!B:B, 0), MATCH("TOTAL", 'P&amp;L SR 1'!$5:$5, 0)), 0)</f>
        <v>0</v>
      </c>
      <c r="D123" s="619" t="s">
        <v>544</v>
      </c>
      <c r="E123" s="621">
        <f>13064.78</f>
        <v>13064.78</v>
      </c>
    </row>
    <row r="124" spans="1:5">
      <c r="A124" s="478" cm="1">
        <f t="array" ref="A124">INDEX('Master Mapping'!O:O, MATCH(TRUE, EXACT(TEXT(LEFT(TRIM(D124), 7), "@"), 'Master Mapping'!A:A), 0))</f>
        <v>18</v>
      </c>
      <c r="B124" s="617">
        <f t="shared" si="1"/>
        <v>43266.47</v>
      </c>
      <c r="C124" s="617">
        <f>IFERROR(INDEX('P&amp;L SR 1'!A:ZZ, MATCH(D124, 'P&amp;L SR 1'!B:B, 0), MATCH("TOTAL", 'P&amp;L SR 1'!$5:$5, 0)), 0)</f>
        <v>0</v>
      </c>
      <c r="D124" s="619" t="s">
        <v>280</v>
      </c>
      <c r="E124" s="621">
        <f>43266.47</f>
        <v>43266.47</v>
      </c>
    </row>
    <row r="125" spans="1:5">
      <c r="A125" s="478" cm="1">
        <f t="array" ref="A125">INDEX('Master Mapping'!O:O, MATCH(TRUE, EXACT(TEXT(LEFT(TRIM(D125), 7), "@"), 'Master Mapping'!A:A), 0))</f>
        <v>16</v>
      </c>
      <c r="B125" s="617">
        <f t="shared" si="1"/>
        <v>23997.49</v>
      </c>
      <c r="C125" s="617">
        <f>IFERROR(INDEX('P&amp;L SR 1'!A:ZZ, MATCH(D125, 'P&amp;L SR 1'!B:B, 0), MATCH("TOTAL", 'P&amp;L SR 1'!$5:$5, 0)), 0)</f>
        <v>0</v>
      </c>
      <c r="D125" s="619" t="s">
        <v>546</v>
      </c>
      <c r="E125" s="621">
        <f>23997.49</f>
        <v>23997.49</v>
      </c>
    </row>
    <row r="126" spans="1:5">
      <c r="A126" s="478" cm="1">
        <f t="array" ref="A126">INDEX('Master Mapping'!O:O, MATCH(TRUE, EXACT(TEXT(LEFT(TRIM(D126), 7), "@"), 'Master Mapping'!A:A), 0))</f>
        <v>15</v>
      </c>
      <c r="B126" s="617">
        <f t="shared" si="1"/>
        <v>495.03</v>
      </c>
      <c r="C126" s="617">
        <f>IFERROR(INDEX('P&amp;L SR 1'!A:ZZ, MATCH(D126, 'P&amp;L SR 1'!B:B, 0), MATCH("TOTAL", 'P&amp;L SR 1'!$5:$5, 0)), 0)</f>
        <v>0</v>
      </c>
      <c r="D126" s="619" t="s">
        <v>273</v>
      </c>
      <c r="E126" s="621">
        <f>495.03</f>
        <v>495.03</v>
      </c>
    </row>
    <row r="127" spans="1:5">
      <c r="A127" s="478" cm="1">
        <f t="array" ref="A127">INDEX('Master Mapping'!O:O, MATCH(TRUE, EXACT(TEXT(LEFT(TRIM(D127), 7), "@"), 'Master Mapping'!A:A), 0))</f>
        <v>21</v>
      </c>
      <c r="B127" s="617">
        <f t="shared" si="1"/>
        <v>0</v>
      </c>
      <c r="C127" s="617">
        <f>IFERROR(INDEX('P&amp;L SR 1'!A:ZZ, MATCH(D127, 'P&amp;L SR 1'!B:B, 0), MATCH("TOTAL", 'P&amp;L SR 1'!$5:$5, 0)), 0)</f>
        <v>59894.53</v>
      </c>
      <c r="D127" s="619" t="s">
        <v>547</v>
      </c>
      <c r="E127" s="621">
        <f>59894.53</f>
        <v>59894.53</v>
      </c>
    </row>
    <row r="128" spans="1:5">
      <c r="A128" s="478" cm="1">
        <f t="array" ref="A128">INDEX('Master Mapping'!O:O, MATCH(TRUE, EXACT(TEXT(LEFT(TRIM(D128), 7), "@"), 'Master Mapping'!A:A), 0))</f>
        <v>16</v>
      </c>
      <c r="B128" s="617">
        <f t="shared" si="1"/>
        <v>488.6</v>
      </c>
      <c r="C128" s="617">
        <f>IFERROR(INDEX('P&amp;L SR 1'!A:ZZ, MATCH(D128, 'P&amp;L SR 1'!B:B, 0), MATCH("TOTAL", 'P&amp;L SR 1'!$5:$5, 0)), 0)</f>
        <v>0</v>
      </c>
      <c r="D128" s="619" t="s">
        <v>548</v>
      </c>
      <c r="E128" s="621">
        <f>488.6</f>
        <v>488.6</v>
      </c>
    </row>
    <row r="129" spans="1:5">
      <c r="A129" s="478" t="e" cm="1">
        <f t="array" ref="A129">INDEX('Master Mapping'!O:O, MATCH(TRUE, EXACT(TEXT(LEFT(TRIM(D129), 7), "@"), 'Master Mapping'!A:A), 0))</f>
        <v>#N/A</v>
      </c>
      <c r="B129" s="617">
        <f t="shared" si="1"/>
        <v>178770.47999999998</v>
      </c>
      <c r="C129" s="617">
        <f>IFERROR(INDEX('P&amp;L SR 1'!A:ZZ, MATCH(D129, 'P&amp;L SR 1'!B:B, 0), MATCH("TOTAL", 'P&amp;L SR 1'!$5:$5, 0)), 0)</f>
        <v>59894.53</v>
      </c>
      <c r="D129" s="619" t="s">
        <v>549</v>
      </c>
      <c r="E129" s="622">
        <f>((((((((E120)+(E121))+(E122))+(E123))+(E124))+(E125))+(E126))+(E127))+(E128)</f>
        <v>238665.00999999998</v>
      </c>
    </row>
    <row r="130" spans="1:5">
      <c r="A130" s="478" t="e" cm="1">
        <f t="array" ref="A130">INDEX('Master Mapping'!O:O, MATCH(TRUE, EXACT(TEXT(LEFT(TRIM(D130), 7), "@"), 'Master Mapping'!A:A), 0))</f>
        <v>#N/A</v>
      </c>
      <c r="B130" s="617">
        <f t="shared" si="1"/>
        <v>0</v>
      </c>
      <c r="C130" s="617">
        <f>IFERROR(INDEX('P&amp;L SR 1'!A:ZZ, MATCH(D130, 'P&amp;L SR 1'!B:B, 0), MATCH("TOTAL", 'P&amp;L SR 1'!$5:$5, 0)), 0)</f>
        <v>0</v>
      </c>
      <c r="D130" s="619" t="s">
        <v>274</v>
      </c>
      <c r="E130" s="620"/>
    </row>
    <row r="131" spans="1:5">
      <c r="A131" s="478" cm="1">
        <f t="array" ref="A131">INDEX('Master Mapping'!O:O, MATCH(TRUE, EXACT(TEXT(LEFT(TRIM(D131), 7), "@"), 'Master Mapping'!A:A), 0))</f>
        <v>7</v>
      </c>
      <c r="B131" s="617">
        <f t="shared" si="1"/>
        <v>92117.91</v>
      </c>
      <c r="C131" s="617">
        <f>IFERROR(INDEX('P&amp;L SR 1'!A:ZZ, MATCH(D131, 'P&amp;L SR 1'!B:B, 0), MATCH("TOTAL", 'P&amp;L SR 1'!$5:$5, 0)), 0)</f>
        <v>0</v>
      </c>
      <c r="D131" s="619" t="s">
        <v>550</v>
      </c>
      <c r="E131" s="621">
        <f>92117.91</f>
        <v>92117.91</v>
      </c>
    </row>
    <row r="132" spans="1:5">
      <c r="A132" s="478" cm="1">
        <f t="array" ref="A132">INDEX('Master Mapping'!O:O, MATCH(TRUE, EXACT(TEXT(LEFT(TRIM(D132), 7), "@"), 'Master Mapping'!A:A), 0))</f>
        <v>14</v>
      </c>
      <c r="B132" s="617">
        <f t="shared" si="1"/>
        <v>5486.84</v>
      </c>
      <c r="C132" s="617">
        <f>IFERROR(INDEX('P&amp;L SR 1'!A:ZZ, MATCH(D132, 'P&amp;L SR 1'!B:B, 0), MATCH("TOTAL", 'P&amp;L SR 1'!$5:$5, 0)), 0)</f>
        <v>0</v>
      </c>
      <c r="D132" s="619" t="s">
        <v>552</v>
      </c>
      <c r="E132" s="621">
        <f>5486.84</f>
        <v>5486.84</v>
      </c>
    </row>
    <row r="133" spans="1:5">
      <c r="A133" s="478" cm="1">
        <f t="array" ref="A133">INDEX('Master Mapping'!O:O, MATCH(TRUE, EXACT(TEXT(LEFT(TRIM(D133), 7), "@"), 'Master Mapping'!A:A), 0))</f>
        <v>16</v>
      </c>
      <c r="B133" s="617">
        <f t="shared" si="1"/>
        <v>749.61</v>
      </c>
      <c r="C133" s="617">
        <f>IFERROR(INDEX('P&amp;L SR 1'!A:ZZ, MATCH(D133, 'P&amp;L SR 1'!B:B, 0), MATCH("TOTAL", 'P&amp;L SR 1'!$5:$5, 0)), 0)</f>
        <v>0</v>
      </c>
      <c r="D133" s="619" t="s">
        <v>553</v>
      </c>
      <c r="E133" s="621">
        <f>749.61</f>
        <v>749.61</v>
      </c>
    </row>
    <row r="134" spans="1:5">
      <c r="A134" s="478" cm="1">
        <f t="array" ref="A134">INDEX('Master Mapping'!O:O, MATCH(TRUE, EXACT(TEXT(LEFT(TRIM(D134), 7), "@"), 'Master Mapping'!A:A), 0))</f>
        <v>18</v>
      </c>
      <c r="B134" s="617">
        <f t="shared" si="1"/>
        <v>7994.97</v>
      </c>
      <c r="C134" s="617">
        <f>IFERROR(INDEX('P&amp;L SR 1'!A:ZZ, MATCH(D134, 'P&amp;L SR 1'!B:B, 0), MATCH("TOTAL", 'P&amp;L SR 1'!$5:$5, 0)), 0)</f>
        <v>0</v>
      </c>
      <c r="D134" s="619" t="s">
        <v>554</v>
      </c>
      <c r="E134" s="621">
        <f>7994.97</f>
        <v>7994.97</v>
      </c>
    </row>
    <row r="135" spans="1:5">
      <c r="A135" s="478" cm="1">
        <f t="array" ref="A135">INDEX('Master Mapping'!O:O, MATCH(TRUE, EXACT(TEXT(LEFT(TRIM(D135), 7), "@"), 'Master Mapping'!A:A), 0))</f>
        <v>7</v>
      </c>
      <c r="B135" s="617">
        <f t="shared" si="1"/>
        <v>18.68</v>
      </c>
      <c r="C135" s="617">
        <f>IFERROR(INDEX('P&amp;L SR 1'!A:ZZ, MATCH(D135, 'P&amp;L SR 1'!B:B, 0), MATCH("TOTAL", 'P&amp;L SR 1'!$5:$5, 0)), 0)</f>
        <v>0</v>
      </c>
      <c r="D135" s="619" t="s">
        <v>555</v>
      </c>
      <c r="E135" s="621">
        <f>18.68</f>
        <v>18.68</v>
      </c>
    </row>
    <row r="136" spans="1:5">
      <c r="A136" s="478" cm="1">
        <f t="array" ref="A136">INDEX('Master Mapping'!O:O, MATCH(TRUE, EXACT(TEXT(LEFT(TRIM(D136), 7), "@"), 'Master Mapping'!A:A), 0))</f>
        <v>16</v>
      </c>
      <c r="B136" s="617">
        <f t="shared" si="1"/>
        <v>3829.89</v>
      </c>
      <c r="C136" s="617">
        <f>IFERROR(INDEX('P&amp;L SR 1'!A:ZZ, MATCH(D136, 'P&amp;L SR 1'!B:B, 0), MATCH("TOTAL", 'P&amp;L SR 1'!$5:$5, 0)), 0)</f>
        <v>0</v>
      </c>
      <c r="D136" s="619" t="s">
        <v>556</v>
      </c>
      <c r="E136" s="621">
        <f>3829.89</f>
        <v>3829.89</v>
      </c>
    </row>
    <row r="137" spans="1:5">
      <c r="A137" s="478" cm="1">
        <f t="array" ref="A137">INDEX('Master Mapping'!O:O, MATCH(TRUE, EXACT(TEXT(LEFT(TRIM(D137), 7), "@"), 'Master Mapping'!A:A), 0))</f>
        <v>18</v>
      </c>
      <c r="B137" s="617">
        <f t="shared" ref="B137:B150" si="2">E137-C137</f>
        <v>36430.81</v>
      </c>
      <c r="C137" s="617">
        <f>IFERROR(INDEX('P&amp;L SR 1'!A:ZZ, MATCH(D137, 'P&amp;L SR 1'!B:B, 0), MATCH("TOTAL", 'P&amp;L SR 1'!$5:$5, 0)), 0)</f>
        <v>0</v>
      </c>
      <c r="D137" s="619" t="s">
        <v>557</v>
      </c>
      <c r="E137" s="621">
        <f>36430.81</f>
        <v>36430.81</v>
      </c>
    </row>
    <row r="138" spans="1:5">
      <c r="A138" s="478" cm="1">
        <f t="array" ref="A138">INDEX('Master Mapping'!O:O, MATCH(TRUE, EXACT(TEXT(LEFT(TRIM(D138), 7), "@"), 'Master Mapping'!A:A), 0))</f>
        <v>7</v>
      </c>
      <c r="B138" s="617">
        <f t="shared" si="2"/>
        <v>8764.4500000000007</v>
      </c>
      <c r="C138" s="617">
        <f>IFERROR(INDEX('P&amp;L SR 1'!A:ZZ, MATCH(D138, 'P&amp;L SR 1'!B:B, 0), MATCH("TOTAL", 'P&amp;L SR 1'!$5:$5, 0)), 0)</f>
        <v>0</v>
      </c>
      <c r="D138" s="619" t="s">
        <v>558</v>
      </c>
      <c r="E138" s="621">
        <f>8764.45</f>
        <v>8764.4500000000007</v>
      </c>
    </row>
    <row r="139" spans="1:5">
      <c r="A139" s="478" t="e" cm="1">
        <f t="array" ref="A139">INDEX('Master Mapping'!O:O, MATCH(TRUE, EXACT(TEXT(LEFT(TRIM(D139), 7), "@"), 'Master Mapping'!A:A), 0))</f>
        <v>#N/A</v>
      </c>
      <c r="B139" s="617">
        <f t="shared" si="2"/>
        <v>155393.16</v>
      </c>
      <c r="C139" s="617">
        <f>IFERROR(INDEX('P&amp;L SR 1'!A:ZZ, MATCH(D139, 'P&amp;L SR 1'!B:B, 0), MATCH("TOTAL", 'P&amp;L SR 1'!$5:$5, 0)), 0)</f>
        <v>0</v>
      </c>
      <c r="D139" s="619" t="s">
        <v>275</v>
      </c>
      <c r="E139" s="622">
        <f>((((((((E130)+(E131))+(E132))+(E133))+(E134))+(E135))+(E136))+(E137))+(E138)</f>
        <v>155393.16</v>
      </c>
    </row>
    <row r="140" spans="1:5">
      <c r="A140" s="478" t="e" cm="1">
        <f t="array" ref="A140">INDEX('Master Mapping'!O:O, MATCH(TRUE, EXACT(TEXT(LEFT(TRIM(D140), 7), "@"), 'Master Mapping'!A:A), 0))</f>
        <v>#N/A</v>
      </c>
      <c r="B140" s="617">
        <f t="shared" si="2"/>
        <v>0</v>
      </c>
      <c r="C140" s="617">
        <f>IFERROR(INDEX('P&amp;L SR 1'!A:ZZ, MATCH(D140, 'P&amp;L SR 1'!B:B, 0), MATCH("TOTAL", 'P&amp;L SR 1'!$5:$5, 0)), 0)</f>
        <v>0</v>
      </c>
      <c r="D140" s="619" t="s">
        <v>559</v>
      </c>
      <c r="E140" s="620"/>
    </row>
    <row r="141" spans="1:5">
      <c r="A141" s="478" cm="1">
        <f t="array" ref="A141">INDEX('Master Mapping'!O:O, MATCH(TRUE, EXACT(TEXT(LEFT(TRIM(D141), 7), "@"), 'Master Mapping'!A:A), 0))</f>
        <v>16</v>
      </c>
      <c r="B141" s="617">
        <f t="shared" si="2"/>
        <v>2134.25</v>
      </c>
      <c r="C141" s="617">
        <f>IFERROR(INDEX('P&amp;L SR 1'!A:ZZ, MATCH(D141, 'P&amp;L SR 1'!B:B, 0), MATCH("TOTAL", 'P&amp;L SR 1'!$5:$5, 0)), 0)</f>
        <v>0</v>
      </c>
      <c r="D141" s="619" t="s">
        <v>560</v>
      </c>
      <c r="E141" s="621">
        <f>2134.25</f>
        <v>2134.25</v>
      </c>
    </row>
    <row r="142" spans="1:5">
      <c r="A142" s="478" cm="1">
        <f t="array" ref="A142">INDEX('Master Mapping'!O:O, MATCH(TRUE, EXACT(TEXT(LEFT(TRIM(D142), 7), "@"), 'Master Mapping'!A:A), 0))</f>
        <v>16</v>
      </c>
      <c r="B142" s="617">
        <f t="shared" si="2"/>
        <v>101.17</v>
      </c>
      <c r="C142" s="617">
        <f>IFERROR(INDEX('P&amp;L SR 1'!A:ZZ, MATCH(D142, 'P&amp;L SR 1'!B:B, 0), MATCH("TOTAL", 'P&amp;L SR 1'!$5:$5, 0)), 0)</f>
        <v>0</v>
      </c>
      <c r="D142" s="619" t="s">
        <v>561</v>
      </c>
      <c r="E142" s="621">
        <f>101.17</f>
        <v>101.17</v>
      </c>
    </row>
    <row r="143" spans="1:5">
      <c r="A143" s="478" t="e" cm="1">
        <f t="array" ref="A143">INDEX('Master Mapping'!O:O, MATCH(TRUE, EXACT(TEXT(LEFT(TRIM(D143), 7), "@"), 'Master Mapping'!A:A), 0))</f>
        <v>#N/A</v>
      </c>
      <c r="B143" s="617">
        <f t="shared" si="2"/>
        <v>2235.42</v>
      </c>
      <c r="C143" s="617">
        <f>IFERROR(INDEX('P&amp;L SR 1'!A:ZZ, MATCH(D143, 'P&amp;L SR 1'!B:B, 0), MATCH("TOTAL", 'P&amp;L SR 1'!$5:$5, 0)), 0)</f>
        <v>0</v>
      </c>
      <c r="D143" s="619" t="s">
        <v>562</v>
      </c>
      <c r="E143" s="622">
        <f>((E140)+(E141))+(E142)</f>
        <v>2235.42</v>
      </c>
    </row>
    <row r="144" spans="1:5">
      <c r="A144" s="478" t="e" cm="1">
        <f t="array" ref="A144">INDEX('Master Mapping'!O:O, MATCH(TRUE, EXACT(TEXT(LEFT(TRIM(D144), 7), "@"), 'Master Mapping'!A:A), 0))</f>
        <v>#N/A</v>
      </c>
      <c r="B144" s="617">
        <f t="shared" si="2"/>
        <v>0</v>
      </c>
      <c r="C144" s="617">
        <f>IFERROR(INDEX('P&amp;L SR 1'!A:ZZ, MATCH(D144, 'P&amp;L SR 1'!B:B, 0), MATCH("TOTAL", 'P&amp;L SR 1'!$5:$5, 0)), 0)</f>
        <v>0</v>
      </c>
      <c r="D144" s="619" t="s">
        <v>563</v>
      </c>
      <c r="E144" s="620"/>
    </row>
    <row r="145" spans="1:5">
      <c r="A145" s="478" cm="1">
        <f t="array" ref="A145">INDEX('Master Mapping'!O:O, MATCH(TRUE, EXACT(TEXT(LEFT(TRIM(D145), 7), "@"), 'Master Mapping'!A:A), 0))</f>
        <v>26</v>
      </c>
      <c r="B145" s="617">
        <f t="shared" si="2"/>
        <v>-9400</v>
      </c>
      <c r="C145" s="617">
        <f>IFERROR(INDEX('P&amp;L SR 1'!A:ZZ, MATCH(D145, 'P&amp;L SR 1'!B:B, 0), MATCH("TOTAL", 'P&amp;L SR 1'!$5:$5, 0)), 0)</f>
        <v>9400</v>
      </c>
      <c r="D145" s="619" t="s">
        <v>564</v>
      </c>
      <c r="E145" s="621">
        <f>0</f>
        <v>0</v>
      </c>
    </row>
    <row r="146" spans="1:5">
      <c r="A146" s="478" t="e" cm="1">
        <f t="array" ref="A146">INDEX('Master Mapping'!O:O, MATCH(TRUE, EXACT(TEXT(LEFT(TRIM(D146), 7), "@"), 'Master Mapping'!A:A), 0))</f>
        <v>#N/A</v>
      </c>
      <c r="B146" s="617">
        <f t="shared" si="2"/>
        <v>-9400</v>
      </c>
      <c r="C146" s="617">
        <f>IFERROR(INDEX('P&amp;L SR 1'!A:ZZ, MATCH(D146, 'P&amp;L SR 1'!B:B, 0), MATCH("TOTAL", 'P&amp;L SR 1'!$5:$5, 0)), 0)</f>
        <v>9400</v>
      </c>
      <c r="D146" s="619" t="s">
        <v>565</v>
      </c>
      <c r="E146" s="622">
        <f>(E144)+(E145)</f>
        <v>0</v>
      </c>
    </row>
    <row r="147" spans="1:5">
      <c r="A147" s="478" cm="1">
        <f t="array" ref="A147">INDEX('Master Mapping'!O:O, MATCH(TRUE, EXACT(TEXT(LEFT(TRIM(D147), 7), "@"), 'Master Mapping'!A:A), 0))</f>
        <v>16</v>
      </c>
      <c r="B147" s="617">
        <f t="shared" si="2"/>
        <v>0</v>
      </c>
      <c r="C147" s="617">
        <f>IFERROR(INDEX('P&amp;L SR 1'!A:ZZ, MATCH(D147, 'P&amp;L SR 1'!B:B, 0), MATCH("TOTAL", 'P&amp;L SR 1'!$5:$5, 0)), 0)</f>
        <v>0</v>
      </c>
      <c r="D147" s="619" t="s">
        <v>4296</v>
      </c>
      <c r="E147" s="621">
        <f>0</f>
        <v>0</v>
      </c>
    </row>
    <row r="148" spans="1:5">
      <c r="A148" s="478" t="e" cm="1">
        <f t="array" ref="A148">INDEX('Master Mapping'!O:O, MATCH(TRUE, EXACT(TEXT(LEFT(TRIM(D148), 7), "@"), 'Master Mapping'!A:A), 0))</f>
        <v>#N/A</v>
      </c>
      <c r="B148" s="617">
        <f t="shared" si="2"/>
        <v>1672275.1000000003</v>
      </c>
      <c r="C148" s="617">
        <f>IFERROR(INDEX('P&amp;L SR 1'!A:ZZ, MATCH(D148, 'P&amp;L SR 1'!B:B, 0), MATCH("TOTAL", 'P&amp;L SR 1'!$5:$5, 0)), 0)</f>
        <v>395877.25</v>
      </c>
      <c r="D148" s="619" t="s">
        <v>566</v>
      </c>
      <c r="E148" s="622">
        <f>((((((((E44)+(E92))+(E108))+(E119))+(E129))+(E139))+(E143))+(E146))+(E147)</f>
        <v>2068152.3500000003</v>
      </c>
    </row>
    <row r="149" spans="1:5">
      <c r="A149" s="478" t="e" cm="1">
        <f t="array" ref="A149">INDEX('Master Mapping'!O:O, MATCH(TRUE, EXACT(TEXT(LEFT(TRIM(D149), 7), "@"), 'Master Mapping'!A:A), 0))</f>
        <v>#N/A</v>
      </c>
      <c r="B149" s="617">
        <f t="shared" si="2"/>
        <v>-381857.31000000017</v>
      </c>
      <c r="C149" s="617">
        <f>IFERROR(INDEX('P&amp;L SR 1'!A:ZZ, MATCH(D149, 'P&amp;L SR 1'!B:B, 0), MATCH("TOTAL", 'P&amp;L SR 1'!$5:$5, 0)), 0)</f>
        <v>364425.14</v>
      </c>
      <c r="D149" s="619" t="s">
        <v>567</v>
      </c>
      <c r="E149" s="622">
        <f>(E28)-(E148)</f>
        <v>-17432.170000000158</v>
      </c>
    </row>
    <row r="150" spans="1:5">
      <c r="A150" s="478" t="e" cm="1">
        <f t="array" ref="A150">INDEX('Master Mapping'!O:O, MATCH(TRUE, EXACT(TEXT(LEFT(TRIM(D150), 7), "@"), 'Master Mapping'!A:A), 0))</f>
        <v>#N/A</v>
      </c>
      <c r="B150" s="617">
        <f t="shared" si="2"/>
        <v>-381857.31000000017</v>
      </c>
      <c r="C150" s="617">
        <f>IFERROR(INDEX('P&amp;L SR 1'!A:ZZ, MATCH(D150, 'P&amp;L SR 1'!B:B, 0), MATCH("TOTAL", 'P&amp;L SR 1'!$5:$5, 0)), 0)</f>
        <v>364425.14</v>
      </c>
      <c r="D150" s="619" t="s">
        <v>568</v>
      </c>
      <c r="E150" s="622">
        <f>(E149)+(0)</f>
        <v>-17432.170000000158</v>
      </c>
    </row>
    <row r="151" spans="1:5">
      <c r="D151" s="619"/>
      <c r="E151" s="620"/>
    </row>
    <row r="154" spans="1:5">
      <c r="D154" s="815" t="s">
        <v>4297</v>
      </c>
      <c r="E154" s="795"/>
    </row>
  </sheetData>
  <mergeCells count="1">
    <mergeCell ref="D154:E15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9"/>
  <sheetViews>
    <sheetView workbookViewId="0"/>
  </sheetViews>
  <sheetFormatPr defaultColWidth="8.84375" defaultRowHeight="15.5"/>
  <cols>
    <col min="1" max="1" width="82" customWidth="1"/>
  </cols>
  <sheetData>
    <row r="1" spans="1:1">
      <c r="A1" s="115" t="s">
        <v>176</v>
      </c>
    </row>
    <row r="3" spans="1:1">
      <c r="A3" s="115" t="s">
        <v>175</v>
      </c>
    </row>
    <row r="4" spans="1:1">
      <c r="A4" s="115"/>
    </row>
    <row r="5" spans="1:1">
      <c r="A5" s="116" t="s">
        <v>174</v>
      </c>
    </row>
    <row r="6" spans="1:1">
      <c r="A6" s="116"/>
    </row>
    <row r="7" spans="1:1">
      <c r="A7" s="116" t="s">
        <v>182</v>
      </c>
    </row>
    <row r="8" spans="1:1">
      <c r="A8" s="116"/>
    </row>
    <row r="9" spans="1:1">
      <c r="A9" s="117" t="s">
        <v>183</v>
      </c>
    </row>
    <row r="10" spans="1:1">
      <c r="A10" s="117"/>
    </row>
    <row r="11" spans="1:1">
      <c r="A11" s="117" t="s">
        <v>184</v>
      </c>
    </row>
    <row r="12" spans="1:1">
      <c r="A12" s="117"/>
    </row>
    <row r="13" spans="1:1">
      <c r="A13" s="118" t="s">
        <v>210</v>
      </c>
    </row>
    <row r="14" spans="1:1">
      <c r="A14" s="116"/>
    </row>
    <row r="15" spans="1:1">
      <c r="A15" s="118" t="s">
        <v>185</v>
      </c>
    </row>
    <row r="16" spans="1:1">
      <c r="A16" s="116"/>
    </row>
    <row r="17" spans="1:1" ht="29">
      <c r="A17" s="119" t="s">
        <v>173</v>
      </c>
    </row>
    <row r="18" spans="1:1">
      <c r="A18" s="116"/>
    </row>
    <row r="19" spans="1:1">
      <c r="A19" s="116" t="s">
        <v>172</v>
      </c>
    </row>
    <row r="22" spans="1:1" ht="116">
      <c r="A22" s="120" t="s">
        <v>186</v>
      </c>
    </row>
    <row r="29" spans="1:1">
      <c r="A29" s="121"/>
    </row>
  </sheetData>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12</vt:i4>
      </vt:variant>
    </vt:vector>
  </HeadingPairs>
  <TitlesOfParts>
    <vt:vector size="29" baseType="lpstr">
      <vt:lpstr>Submission Dates</vt:lpstr>
      <vt:lpstr>SemiAnnual Budget 1 Upload</vt:lpstr>
      <vt:lpstr>FY 24-25 Budget Form A</vt:lpstr>
      <vt:lpstr>FBT</vt:lpstr>
      <vt:lpstr>FY24</vt:lpstr>
      <vt:lpstr>Form A Mapping</vt:lpstr>
      <vt:lpstr>P&amp;L SR 1</vt:lpstr>
      <vt:lpstr>P&amp;L 1</vt:lpstr>
      <vt:lpstr>Instruc Annual Budget </vt:lpstr>
      <vt:lpstr>P&amp;L 2</vt:lpstr>
      <vt:lpstr>P&amp;L SR 2</vt:lpstr>
      <vt:lpstr>Annual Budget </vt:lpstr>
      <vt:lpstr>Instruc Qtrly Budget</vt:lpstr>
      <vt:lpstr>Qtr 1 Budget</vt:lpstr>
      <vt:lpstr>Qtr 2 Budget</vt:lpstr>
      <vt:lpstr>Qtr 3 Budget</vt:lpstr>
      <vt:lpstr>Master Mapping</vt:lpstr>
      <vt:lpstr>'Annual Budget '!Print_Area</vt:lpstr>
      <vt:lpstr>'Qtr 1 Budget'!Print_Area</vt:lpstr>
      <vt:lpstr>'Qtr 2 Budget'!Print_Area</vt:lpstr>
      <vt:lpstr>'Qtr 3 Budget'!Print_Area</vt:lpstr>
      <vt:lpstr>'Annual Budget '!Print_Titles</vt:lpstr>
      <vt:lpstr>'Qtr 1 Budget'!Print_Titles</vt:lpstr>
      <vt:lpstr>'Qtr 2 Budget'!Print_Titles</vt:lpstr>
      <vt:lpstr>'Qtr 3 Budget'!Print_Titles</vt:lpstr>
      <vt:lpstr>'Qtr 1 Budget'!Print_Titles_MI</vt:lpstr>
      <vt:lpstr>'Qtr 2 Budget'!Print_Titles_MI</vt:lpstr>
      <vt:lpstr>'Qtr 3 Budget'!Print_Titles_MI</vt:lpstr>
      <vt:lpstr>Print_Titles_MI</vt:lpstr>
    </vt:vector>
  </TitlesOfParts>
  <Company>LaDOE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cstevens</dc:creator>
  <cp:lastModifiedBy>Sherah LeBoeuf</cp:lastModifiedBy>
  <cp:lastPrinted>2021-08-20T19:11:52Z</cp:lastPrinted>
  <dcterms:created xsi:type="dcterms:W3CDTF">2001-08-10T20:35:30Z</dcterms:created>
  <dcterms:modified xsi:type="dcterms:W3CDTF">2025-09-03T01:46:09Z</dcterms:modified>
</cp:coreProperties>
</file>